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38C0212-65CF-49DD-81AF-11CDC8EE4F9E}" xr6:coauthVersionLast="47" xr6:coauthVersionMax="47" xr10:uidLastSave="{00000000-0000-0000-0000-000000000000}"/>
  <bookViews>
    <workbookView xWindow="-120" yWindow="-120" windowWidth="20730" windowHeight="11040" tabRatio="768" firstSheet="5" activeTab="5" xr2:uid="{00000000-000D-0000-FFFF-FFFF00000000}"/>
  </bookViews>
  <sheets>
    <sheet name="POLLO" sheetId="4" state="hidden" r:id="rId1"/>
    <sheet name="pecuario" sheetId="5" state="hidden" r:id="rId2"/>
    <sheet name="Antes" sheetId="7" state="hidden" r:id="rId3"/>
    <sheet name="MODIFICADO" sheetId="6" state="hidden" r:id="rId4"/>
    <sheet name="Datos Mensuales (19-20)" sheetId="18" state="hidden" r:id="rId5"/>
    <sheet name="Datos Mensuales" sheetId="14" r:id="rId6"/>
    <sheet name="Precio de Insumos" sheetId="17" state="hidden" r:id="rId7"/>
    <sheet name="COMPARATIVO Enero - Diciemb" sheetId="13" state="hidden" r:id="rId8"/>
    <sheet name="HISTORICO" sheetId="12" state="hidden" r:id="rId9"/>
    <sheet name="Hoja1" sheetId="1" state="hidden" r:id="rId10"/>
    <sheet name="COMPARATIVO (Junio)" sheetId="8" state="hidden" r:id="rId11"/>
    <sheet name="COMPARATIVO (enero-junio)" sheetId="2" state="hidden" r:id="rId12"/>
    <sheet name="Hoja3" sheetId="3" state="hidden" r:id="rId13"/>
  </sheets>
  <definedNames>
    <definedName name="_xlnm.Print_Area" localSheetId="2">Antes!$A$1:$N$28</definedName>
    <definedName name="_xlnm.Print_Area" localSheetId="7">'COMPARATIVO Enero - Diciemb'!$A$1:$E$43</definedName>
    <definedName name="_xlnm.Print_Area" localSheetId="5">'Datos Mensuales'!$A$3:$H$34</definedName>
    <definedName name="_xlnm.Print_Area" localSheetId="4">'Datos Mensuales (19-20)'!$A$1:$N$34</definedName>
    <definedName name="_xlnm.Print_Area" localSheetId="9">Hoja1!$A$1:$K$28</definedName>
    <definedName name="_xlnm.Print_Area" localSheetId="3">MODIFICADO!$A$1:$N$30</definedName>
    <definedName name="_xlnm.Print_Area" localSheetId="1">pecuario!$A$1:$J$28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4" l="1"/>
  <c r="G25" i="14" l="1"/>
  <c r="D25" i="14" l="1"/>
  <c r="C25" i="14"/>
  <c r="F25" i="14" l="1"/>
  <c r="B25" i="14" l="1"/>
  <c r="I39" i="18" l="1"/>
  <c r="J39" i="18" s="1"/>
  <c r="M31" i="18"/>
  <c r="M32" i="18" s="1"/>
  <c r="M24" i="18" l="1"/>
  <c r="L24" i="18"/>
  <c r="K24" i="18"/>
  <c r="J24" i="18"/>
  <c r="I41" i="18" s="1"/>
  <c r="I42" i="18" s="1"/>
  <c r="I24" i="18"/>
  <c r="G24" i="18"/>
  <c r="F24" i="18"/>
  <c r="E24" i="18"/>
  <c r="D24" i="18"/>
  <c r="C24" i="18"/>
  <c r="B24" i="18"/>
  <c r="H15" i="18"/>
  <c r="H14" i="18"/>
  <c r="H13" i="18"/>
  <c r="H12" i="18"/>
  <c r="H24" i="18" l="1"/>
  <c r="I28" i="18"/>
  <c r="J28" i="18" s="1"/>
  <c r="I30" i="18"/>
  <c r="J30" i="18" s="1"/>
  <c r="I35" i="18"/>
  <c r="L35" i="18"/>
  <c r="K32" i="18"/>
  <c r="L32" i="18" s="1"/>
  <c r="G23" i="17"/>
  <c r="E25" i="17"/>
  <c r="G25" i="17"/>
  <c r="F25" i="17"/>
  <c r="G24" i="17"/>
  <c r="F24" i="17"/>
  <c r="E24" i="17"/>
  <c r="F23" i="17"/>
  <c r="E23" i="17"/>
  <c r="G10" i="17"/>
  <c r="G11" i="17"/>
  <c r="G12" i="17"/>
  <c r="F10" i="17"/>
  <c r="F11" i="17"/>
  <c r="F12" i="17"/>
  <c r="E10" i="17"/>
  <c r="E11" i="17"/>
  <c r="E12" i="17"/>
  <c r="J35" i="18" l="1"/>
  <c r="K35" i="18"/>
  <c r="G37" i="18"/>
  <c r="G40" i="18"/>
  <c r="G41" i="18" s="1"/>
  <c r="G42" i="18" s="1"/>
  <c r="N43" i="12" l="1"/>
  <c r="N36" i="12"/>
  <c r="N29" i="12"/>
  <c r="N22" i="12"/>
  <c r="N15" i="12"/>
  <c r="N8" i="12"/>
  <c r="C9" i="13" l="1"/>
  <c r="D13" i="13"/>
  <c r="D12" i="13"/>
  <c r="D11" i="13"/>
  <c r="D10" i="13"/>
  <c r="D9" i="13"/>
  <c r="C13" i="13"/>
  <c r="C12" i="13"/>
  <c r="C11" i="13"/>
  <c r="C10" i="13"/>
  <c r="C8" i="13"/>
  <c r="D8" i="13"/>
  <c r="E13" i="13" l="1"/>
  <c r="N41" i="12"/>
  <c r="C34" i="13"/>
  <c r="B34" i="13"/>
  <c r="E12" i="13"/>
  <c r="B33" i="13"/>
  <c r="C32" i="13"/>
  <c r="B32" i="13"/>
  <c r="C31" i="13"/>
  <c r="B31" i="13"/>
  <c r="E9" i="13"/>
  <c r="C30" i="13"/>
  <c r="B30" i="13"/>
  <c r="E8" i="13"/>
  <c r="B29" i="13"/>
  <c r="M13" i="12"/>
  <c r="D31" i="13" l="1"/>
  <c r="D30" i="13"/>
  <c r="B35" i="13"/>
  <c r="D32" i="13"/>
  <c r="D34" i="13"/>
  <c r="E11" i="13"/>
  <c r="C29" i="13"/>
  <c r="C33" i="13"/>
  <c r="D33" i="13" s="1"/>
  <c r="E10" i="13"/>
  <c r="N5" i="12"/>
  <c r="N11" i="12"/>
  <c r="N12" i="12"/>
  <c r="N13" i="12"/>
  <c r="N14" i="12"/>
  <c r="N18" i="12"/>
  <c r="N19" i="12"/>
  <c r="N20" i="12"/>
  <c r="N21" i="12"/>
  <c r="N25" i="12"/>
  <c r="N26" i="12"/>
  <c r="N27" i="12"/>
  <c r="N28" i="12"/>
  <c r="N32" i="12"/>
  <c r="N33" i="12"/>
  <c r="N34" i="12"/>
  <c r="N39" i="12"/>
  <c r="N40" i="12"/>
  <c r="N42" i="12"/>
  <c r="N4" i="12"/>
  <c r="C35" i="13" l="1"/>
  <c r="D35" i="13" s="1"/>
  <c r="D29" i="13"/>
  <c r="N7" i="12"/>
  <c r="N35" i="12"/>
  <c r="G6" i="12" l="1"/>
  <c r="N6" i="12" s="1"/>
  <c r="F22" i="6" l="1"/>
  <c r="C8" i="2" l="1"/>
  <c r="D9" i="2" l="1"/>
  <c r="C57" i="2" s="1"/>
  <c r="I22" i="6"/>
  <c r="C61" i="8"/>
  <c r="C60" i="8"/>
  <c r="B57" i="8"/>
  <c r="B104" i="8" s="1"/>
  <c r="C56" i="8"/>
  <c r="E8" i="8"/>
  <c r="B61" i="8"/>
  <c r="B107" i="8" s="1"/>
  <c r="B60" i="8"/>
  <c r="B59" i="8"/>
  <c r="B106" i="8" s="1"/>
  <c r="B58" i="8"/>
  <c r="B105" i="8" s="1"/>
  <c r="C59" i="8"/>
  <c r="E10" i="8"/>
  <c r="D60" i="8" l="1"/>
  <c r="E9" i="8"/>
  <c r="B56" i="8"/>
  <c r="B62" i="8" s="1"/>
  <c r="C106" i="8"/>
  <c r="D106" i="8" s="1"/>
  <c r="D59" i="8"/>
  <c r="C107" i="8"/>
  <c r="D107" i="8" s="1"/>
  <c r="D61" i="8"/>
  <c r="C103" i="8"/>
  <c r="L11" i="8"/>
  <c r="E13" i="8"/>
  <c r="C58" i="8"/>
  <c r="C57" i="8"/>
  <c r="E12" i="8"/>
  <c r="E11" i="8"/>
  <c r="B60" i="2"/>
  <c r="B59" i="2"/>
  <c r="B106" i="2" s="1"/>
  <c r="B58" i="2"/>
  <c r="B105" i="2" s="1"/>
  <c r="B56" i="2"/>
  <c r="B61" i="2"/>
  <c r="B107" i="2" s="1"/>
  <c r="D10" i="2"/>
  <c r="C58" i="2" s="1"/>
  <c r="C105" i="2" s="1"/>
  <c r="D11" i="2"/>
  <c r="C59" i="2" s="1"/>
  <c r="C106" i="2" s="1"/>
  <c r="D12" i="2"/>
  <c r="C60" i="2" s="1"/>
  <c r="D13" i="2"/>
  <c r="C61" i="2" s="1"/>
  <c r="C107" i="2" s="1"/>
  <c r="D56" i="8" l="1"/>
  <c r="C104" i="2"/>
  <c r="B103" i="8"/>
  <c r="B108" i="8" s="1"/>
  <c r="C104" i="8"/>
  <c r="D104" i="8" s="1"/>
  <c r="D57" i="8"/>
  <c r="C62" i="8"/>
  <c r="D62" i="8" s="1"/>
  <c r="C105" i="8"/>
  <c r="D105" i="8" s="1"/>
  <c r="D58" i="8"/>
  <c r="B103" i="2"/>
  <c r="C9" i="2"/>
  <c r="B57" i="2" s="1"/>
  <c r="B104" i="2" s="1"/>
  <c r="D103" i="8" l="1"/>
  <c r="B62" i="2"/>
  <c r="C108" i="8"/>
  <c r="D108" i="8" s="1"/>
  <c r="L11" i="2"/>
  <c r="H14" i="6"/>
  <c r="H22" i="6" l="1"/>
  <c r="D8" i="2"/>
  <c r="C56" i="2" s="1"/>
  <c r="D107" i="2"/>
  <c r="C103" i="2" l="1"/>
  <c r="C108" i="2" s="1"/>
  <c r="C62" i="2"/>
  <c r="B108" i="2"/>
  <c r="D108" i="2" l="1"/>
  <c r="E9" i="2"/>
  <c r="D106" i="2"/>
  <c r="D105" i="2"/>
  <c r="D104" i="2"/>
  <c r="D103" i="2"/>
  <c r="D62" i="2" l="1"/>
  <c r="D61" i="2" l="1"/>
  <c r="D60" i="2"/>
  <c r="D59" i="2"/>
  <c r="D58" i="2"/>
  <c r="D57" i="2"/>
  <c r="D56" i="2"/>
  <c r="C22" i="6"/>
  <c r="D22" i="6"/>
  <c r="E22" i="6"/>
  <c r="B22" i="6"/>
  <c r="G22" i="6" l="1"/>
  <c r="E11" i="2"/>
  <c r="E12" i="2"/>
  <c r="E13" i="2"/>
  <c r="P21" i="7"/>
  <c r="O21" i="7"/>
  <c r="M21" i="7"/>
  <c r="L21" i="7"/>
  <c r="K21" i="7"/>
  <c r="J21" i="7"/>
  <c r="I21" i="7"/>
  <c r="G21" i="7"/>
  <c r="F21" i="7"/>
  <c r="E21" i="7"/>
  <c r="C21" i="7"/>
  <c r="B21" i="7"/>
  <c r="D19" i="7"/>
  <c r="H18" i="7"/>
  <c r="D18" i="7"/>
  <c r="H17" i="7"/>
  <c r="D17" i="7"/>
  <c r="S8" i="7"/>
  <c r="S21" i="7" s="1"/>
  <c r="R8" i="7"/>
  <c r="R21" i="7" s="1"/>
  <c r="Q8" i="7"/>
  <c r="Q21" i="7" s="1"/>
  <c r="N8" i="7"/>
  <c r="N21" i="7" s="1"/>
  <c r="E8" i="2"/>
  <c r="E10" i="2"/>
  <c r="H21" i="7" l="1"/>
  <c r="D21" i="7"/>
  <c r="L22" i="6"/>
  <c r="M22" i="6"/>
  <c r="K22" i="6"/>
  <c r="J22" i="6"/>
  <c r="L9" i="1" l="1"/>
  <c r="L10" i="1"/>
  <c r="L11" i="1"/>
  <c r="L12" i="1"/>
  <c r="L13" i="1"/>
  <c r="L14" i="1"/>
  <c r="L15" i="1"/>
  <c r="L16" i="1"/>
  <c r="L17" i="1"/>
  <c r="L18" i="1"/>
  <c r="L19" i="1"/>
  <c r="L8" i="1"/>
  <c r="K21" i="1"/>
  <c r="K27" i="1" s="1"/>
  <c r="I21" i="5" l="1"/>
  <c r="H21" i="5"/>
  <c r="F21" i="5"/>
  <c r="C21" i="5"/>
  <c r="B21" i="5"/>
  <c r="D19" i="5"/>
  <c r="G18" i="5"/>
  <c r="E18" i="5"/>
  <c r="D18" i="5"/>
  <c r="G17" i="5"/>
  <c r="E17" i="5"/>
  <c r="D17" i="5"/>
  <c r="E21" i="5" l="1"/>
  <c r="G21" i="5"/>
  <c r="D21" i="5"/>
  <c r="E47" i="4"/>
  <c r="E48" i="4" s="1"/>
  <c r="C47" i="4"/>
  <c r="C48" i="4" s="1"/>
  <c r="D48" i="4"/>
  <c r="D49" i="4" s="1"/>
  <c r="D21" i="4" l="1"/>
  <c r="C19" i="4"/>
  <c r="E18" i="4"/>
  <c r="C18" i="4"/>
  <c r="E17" i="4"/>
  <c r="C17" i="4"/>
  <c r="C21" i="4" l="1"/>
  <c r="E21" i="4"/>
  <c r="G21" i="4" s="1"/>
  <c r="H21" i="4" s="1"/>
  <c r="H23" i="4" s="1"/>
  <c r="G18" i="1"/>
  <c r="G17" i="1"/>
  <c r="J21" i="1"/>
  <c r="D19" i="1"/>
  <c r="D18" i="1"/>
  <c r="D17" i="1"/>
  <c r="C21" i="1"/>
  <c r="H21" i="1"/>
  <c r="I21" i="1"/>
  <c r="B21" i="1"/>
  <c r="F21" i="1"/>
  <c r="E18" i="1"/>
  <c r="E17" i="1"/>
  <c r="D21" i="1" l="1"/>
  <c r="G21" i="1"/>
  <c r="E21" i="1"/>
</calcChain>
</file>

<file path=xl/sharedStrings.xml><?xml version="1.0" encoding="utf-8"?>
<sst xmlns="http://schemas.openxmlformats.org/spreadsheetml/2006/main" count="498" uniqueCount="151">
  <si>
    <t>Meses</t>
  </si>
  <si>
    <r>
      <t>Cerdos en Pié                            (</t>
    </r>
    <r>
      <rPr>
        <b/>
        <sz val="10"/>
        <rFont val="Arial Narrow"/>
        <family val="2"/>
      </rPr>
      <t>Unidades)</t>
    </r>
    <r>
      <rPr>
        <sz val="10"/>
        <rFont val="Arial Narrow"/>
        <family val="2"/>
      </rPr>
      <t>**</t>
    </r>
  </si>
  <si>
    <r>
      <t xml:space="preserve">Huevos                    </t>
    </r>
    <r>
      <rPr>
        <b/>
        <sz val="10"/>
        <rFont val="Arial Narrow"/>
        <family val="2"/>
      </rPr>
      <t xml:space="preserve">(Millones de Unidades) </t>
    </r>
  </si>
  <si>
    <r>
      <t xml:space="preserve">Huevos                             </t>
    </r>
    <r>
      <rPr>
        <b/>
        <sz val="10"/>
        <rFont val="Arial Narrow"/>
        <family val="2"/>
      </rPr>
      <t xml:space="preserve">(Millones de Unidades) </t>
    </r>
  </si>
  <si>
    <r>
      <t xml:space="preserve">Bovinos                             </t>
    </r>
    <r>
      <rPr>
        <b/>
        <sz val="10"/>
        <rFont val="Arial Narrow"/>
        <family val="2"/>
      </rPr>
      <t xml:space="preserve"> (Quintales)</t>
    </r>
  </si>
  <si>
    <r>
      <t xml:space="preserve">Miel                            </t>
    </r>
    <r>
      <rPr>
        <b/>
        <sz val="10"/>
        <rFont val="Arial Narrow"/>
        <family val="2"/>
      </rPr>
      <t xml:space="preserve">(Quintales) 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</si>
  <si>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</si>
  <si>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</si>
  <si>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</si>
  <si>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</si>
  <si>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</si>
  <si>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</si>
  <si>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</si>
  <si>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</si>
  <si>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</si>
  <si>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TOTAL</t>
  </si>
  <si>
    <t>**Rendimiento en canal de  166,67 libras , para la convensión en carne de un cerdo (promedio).</t>
  </si>
  <si>
    <t>***Rendimiento en canal de  3,44 libras, para la convensión en carne de un pollo (promedio).</t>
  </si>
  <si>
    <r>
      <t>FUENTE:</t>
    </r>
    <r>
      <rPr>
        <sz val="7"/>
        <rFont val="Arial Narrow"/>
        <family val="2"/>
      </rPr>
      <t xml:space="preserve"> Consejo Nacional de Producción Pecuaria. (CONAPROPE).</t>
    </r>
  </si>
  <si>
    <t xml:space="preserve">                            Elaborado:  Ministerio de Agricultura de la República Dominicana,en el Depto. de Economía Agropecuaria.</t>
  </si>
  <si>
    <r>
      <t xml:space="preserve">Pollos Terminados </t>
    </r>
    <r>
      <rPr>
        <b/>
        <sz val="10"/>
        <rFont val="Arial Narrow"/>
        <family val="2"/>
      </rPr>
      <t>(Millones de Unidades)</t>
    </r>
    <r>
      <rPr>
        <sz val="10"/>
        <rFont val="Arial Narrow"/>
        <family val="2"/>
      </rPr>
      <t xml:space="preserve">*** </t>
    </r>
  </si>
  <si>
    <r>
      <t xml:space="preserve">Pollos Terminados  </t>
    </r>
    <r>
      <rPr>
        <b/>
        <sz val="10"/>
        <rFont val="Arial Narrow"/>
        <family val="2"/>
      </rPr>
      <t>(Millones de Unidades)</t>
    </r>
    <r>
      <rPr>
        <sz val="10"/>
        <rFont val="Arial Narrow"/>
        <family val="2"/>
      </rPr>
      <t xml:space="preserve">*** </t>
    </r>
  </si>
  <si>
    <t>OCTUBRE</t>
  </si>
  <si>
    <t>NOVIEMBRE</t>
  </si>
  <si>
    <t>DICIEMBRE</t>
  </si>
  <si>
    <r>
      <t xml:space="preserve">Leche*                           </t>
    </r>
    <r>
      <rPr>
        <b/>
        <sz val="10"/>
        <rFont val="Arial Narrow"/>
        <family val="2"/>
      </rPr>
      <t xml:space="preserve">(Millones de Litros) </t>
    </r>
  </si>
  <si>
    <t>2015*</t>
  </si>
  <si>
    <t>*2015, Diciembre Estimado</t>
  </si>
  <si>
    <t xml:space="preserve">                            Elaborado:  Ministerio de Agricultura de la República Dominicana,en el Depto. </t>
  </si>
  <si>
    <t xml:space="preserve">                           de Economía Agropecuaria.</t>
  </si>
  <si>
    <r>
      <t xml:space="preserve">Pollos Terminados </t>
    </r>
    <r>
      <rPr>
        <b/>
        <sz val="10"/>
        <rFont val="Arial Narrow"/>
        <family val="2"/>
      </rPr>
      <t>(Millones de Unidades)</t>
    </r>
  </si>
  <si>
    <r>
      <t xml:space="preserve">Pollos Terminados  </t>
    </r>
    <r>
      <rPr>
        <b/>
        <sz val="10"/>
        <rFont val="Arial Narrow"/>
        <family val="2"/>
      </rPr>
      <t>(Millones de Unidades)</t>
    </r>
    <r>
      <rPr>
        <sz val="10"/>
        <rFont val="Arial Narrow"/>
        <family val="2"/>
      </rPr>
      <t xml:space="preserve"> </t>
    </r>
  </si>
  <si>
    <t>Rendimiento en canal de  3,44 libras, para la convensión en carne de un pollo (promedio).</t>
  </si>
  <si>
    <t>Volumen (Tonelas Métricas)</t>
  </si>
  <si>
    <r>
      <t xml:space="preserve">Valor  </t>
    </r>
    <r>
      <rPr>
        <b/>
        <sz val="10"/>
        <rFont val="Arial Narrow"/>
        <family val="2"/>
      </rPr>
      <t>(FOB US$)</t>
    </r>
    <r>
      <rPr>
        <sz val="10"/>
        <rFont val="Arial Narrow"/>
        <family val="2"/>
      </rPr>
      <t xml:space="preserve"> </t>
    </r>
  </si>
  <si>
    <t>Carne de Pollo</t>
  </si>
  <si>
    <r>
      <rPr>
        <b/>
        <sz val="9"/>
        <rFont val="Calibri"/>
        <family val="2"/>
      </rPr>
      <t>Fuente:</t>
    </r>
    <r>
      <rPr>
        <sz val="9"/>
        <rFont val="Arial Narrow"/>
        <family val="2"/>
      </rPr>
      <t xml:space="preserve"> Dirección General de Aduanas (DGA), Departamento de Estadísticas.</t>
    </r>
  </si>
  <si>
    <t xml:space="preserve">              Elaborado:  Ministerio de Agricultura de la República Dominicana.   </t>
  </si>
  <si>
    <t xml:space="preserve">              Departamento de Economía Agropecuaria.</t>
  </si>
  <si>
    <t>Importación  Carne  de  Pollos , 2015*                                                 (Volumen en Toneladas metricas y Valor en FOB US$)</t>
  </si>
  <si>
    <t>Importación  Carne  de  Pollos , 2015*                                                                       (Volumen en Toneladas metricas y Valor en FOB US$)</t>
  </si>
  <si>
    <t>Producción de  Pollos Terminados,                                                       2014   -  2015* (Millones de Unidades)</t>
  </si>
  <si>
    <t>TOTAL 2014</t>
  </si>
  <si>
    <t>TOTAL 2015</t>
  </si>
  <si>
    <t xml:space="preserve"> Las Partidas Incluye  Carne de Pollo  Fresco, Congelados y despojos comestible.</t>
  </si>
  <si>
    <t>DICIEMBRE*</t>
  </si>
  <si>
    <t>Producción de  Productos  Pecuarios, Enero - Diciembre 2014  y Enero -Diciembre 2015</t>
  </si>
  <si>
    <t>***Rendimiento en canal de  3,6 libras, para la convensión en carne de un pollo (promedio).</t>
  </si>
  <si>
    <t>(Peso promedio de la unidad de pollo vivo equivale a 4.5 lbs. Para la conversion a carne de consumo final equivale al 80% del peso de pollo vivo).</t>
  </si>
  <si>
    <t>Comparativo de Productos Pecuarios,</t>
  </si>
  <si>
    <t xml:space="preserve">PRODUCTOS </t>
  </si>
  <si>
    <t>Unidad de Medida</t>
  </si>
  <si>
    <r>
      <t xml:space="preserve">Pollos (Terminados)*** </t>
    </r>
    <r>
      <rPr>
        <b/>
        <sz val="9"/>
        <rFont val="Arial Narrow"/>
        <family val="2"/>
      </rPr>
      <t>(a)</t>
    </r>
  </si>
  <si>
    <r>
      <t>Huevos</t>
    </r>
    <r>
      <rPr>
        <b/>
        <sz val="9"/>
        <rFont val="Arial Narrow"/>
        <family val="2"/>
      </rPr>
      <t xml:space="preserve"> (a)</t>
    </r>
  </si>
  <si>
    <t>ND: No Disponible</t>
  </si>
  <si>
    <t>* Datos preliminares, sujetos a rectificación</t>
  </si>
  <si>
    <r>
      <t xml:space="preserve">FUENTES: </t>
    </r>
    <r>
      <rPr>
        <sz val="7"/>
        <rFont val="Arial Narrow"/>
        <family val="2"/>
      </rPr>
      <t xml:space="preserve">Ministerio de Agricultura de la República Dominicana: Departamento de Seguimiento, Control y Evaluación, </t>
    </r>
  </si>
  <si>
    <t xml:space="preserve">                            a) Consejo Nacional de Producción Pecuaria. (CONAPROPE);</t>
  </si>
  <si>
    <t xml:space="preserve">                            Elaborado en el Depto. de Economía Agropecuaria.</t>
  </si>
  <si>
    <t>Kilogramos</t>
  </si>
  <si>
    <t xml:space="preserve"> Unidades</t>
  </si>
  <si>
    <t xml:space="preserve">( Litros) </t>
  </si>
  <si>
    <t xml:space="preserve">                            b) Dirección General de Ganaderia. (DIGEGA);</t>
  </si>
  <si>
    <t>Bovinos (b)</t>
  </si>
  <si>
    <t>Miel (b)</t>
  </si>
  <si>
    <t>Leche  (b)</t>
  </si>
  <si>
    <r>
      <t>Cerdos**</t>
    </r>
    <r>
      <rPr>
        <b/>
        <sz val="9"/>
        <rFont val="Arial Narrow"/>
        <family val="2"/>
      </rPr>
      <t>(a)</t>
    </r>
  </si>
  <si>
    <t>2016*</t>
  </si>
  <si>
    <r>
      <t xml:space="preserve">Huevos                             </t>
    </r>
    <r>
      <rPr>
        <b/>
        <sz val="9"/>
        <rFont val="Arial Narrow"/>
        <family val="2"/>
      </rPr>
      <t xml:space="preserve"> (Unidades)</t>
    </r>
  </si>
  <si>
    <r>
      <t xml:space="preserve">Bovinos                             </t>
    </r>
    <r>
      <rPr>
        <b/>
        <sz val="9"/>
        <rFont val="Arial Narrow"/>
        <family val="2"/>
      </rPr>
      <t xml:space="preserve"> (Kilogramos)</t>
    </r>
  </si>
  <si>
    <r>
      <t xml:space="preserve">Miel                            </t>
    </r>
    <r>
      <rPr>
        <b/>
        <sz val="9"/>
        <rFont val="Arial Narrow"/>
        <family val="2"/>
      </rPr>
      <t xml:space="preserve">(Kilogramos) </t>
    </r>
  </si>
  <si>
    <r>
      <t xml:space="preserve">Leche                          </t>
    </r>
    <r>
      <rPr>
        <b/>
        <sz val="9"/>
        <rFont val="Arial Narrow"/>
        <family val="2"/>
      </rPr>
      <t xml:space="preserve">( Litros) </t>
    </r>
  </si>
  <si>
    <r>
      <t>Cerdos                             (Kilogramos</t>
    </r>
    <r>
      <rPr>
        <b/>
        <sz val="9"/>
        <rFont val="Arial Narrow"/>
        <family val="2"/>
      </rPr>
      <t>)</t>
    </r>
  </si>
  <si>
    <r>
      <t xml:space="preserve">Leche                         </t>
    </r>
    <r>
      <rPr>
        <b/>
        <sz val="9"/>
        <rFont val="Arial Narrow"/>
        <family val="2"/>
      </rPr>
      <t xml:space="preserve">( Litros) </t>
    </r>
  </si>
  <si>
    <r>
      <t xml:space="preserve">Pollos Terminados                                                                                                   </t>
    </r>
    <r>
      <rPr>
        <b/>
        <sz val="9"/>
        <rFont val="Arial Narrow"/>
        <family val="2"/>
      </rPr>
      <t>( Unidades)</t>
    </r>
  </si>
  <si>
    <r>
      <t>FUENTE:</t>
    </r>
    <r>
      <rPr>
        <sz val="7"/>
        <rFont val="Arial Narrow"/>
        <family val="2"/>
      </rPr>
      <t xml:space="preserve"> Consejo Nacional de Producción Pecuaria. (CONAPROPE); Dirección General de Ganaderia. (DIGEGA).</t>
    </r>
  </si>
  <si>
    <t>Total</t>
  </si>
  <si>
    <t xml:space="preserve"> Enero-Junio,       2015</t>
  </si>
  <si>
    <t xml:space="preserve"> Enero-Junio,       2016*</t>
  </si>
  <si>
    <t>Tasa de Crec %                 2016* Enero - Junio             VS.                                2015 Enero - Junio</t>
  </si>
  <si>
    <t xml:space="preserve"> Enero - Junio 2016  VS.  Enero - Junio 2015</t>
  </si>
  <si>
    <t xml:space="preserve"> Enero - Junio 2016  VS. Enero - Junio 2015 ( En Quintal)</t>
  </si>
  <si>
    <t>Junio,       2015</t>
  </si>
  <si>
    <t>Junio,       2016*</t>
  </si>
  <si>
    <t xml:space="preserve"> Junio 2016  VS.   Junio 2015</t>
  </si>
  <si>
    <t>Tasa de Crec %                 2016*  Junio             VS.                                2015 Junio</t>
  </si>
  <si>
    <t>Tasa de Crec %                 2016*  Junio             VS.                                2015  Junio</t>
  </si>
  <si>
    <t xml:space="preserve"> Junio 2016  VS. Junio 2015 ( En Quintal)</t>
  </si>
  <si>
    <t>Producción de  Productos  Pecuarios, Enero - Diciembre 2015  y  Enero - Septiembre 2016</t>
  </si>
  <si>
    <t>Leche Liquida  (b)</t>
  </si>
  <si>
    <t>Cerdos   (Kilogramos)</t>
  </si>
  <si>
    <t>Pollos Terminados  ( Unidades)</t>
  </si>
  <si>
    <t>Huevos  (Unidades)</t>
  </si>
  <si>
    <t>Bovinos  (Kilogramos)</t>
  </si>
  <si>
    <t xml:space="preserve">Miel     (Kilogramos) </t>
  </si>
  <si>
    <t xml:space="preserve">Leche ( Litros) </t>
  </si>
  <si>
    <t xml:space="preserve">FUENTES: </t>
  </si>
  <si>
    <t xml:space="preserve">     a) Consejo Nacional de Producción Pecuaria. (CONAPROPE);</t>
  </si>
  <si>
    <t xml:space="preserve"> b) Dirección General de Ganaderia. (DIGEGA);</t>
  </si>
  <si>
    <t xml:space="preserve"> Elaborado en el Depto. de Economía Agropecuaria.</t>
  </si>
  <si>
    <t xml:space="preserve"> a) Consejo Nacional de Producción Pecuaria. (CONAPROPE);</t>
  </si>
  <si>
    <t xml:space="preserve">  Elaborado en el Depto. de Economía Agropecuaria.</t>
  </si>
  <si>
    <r>
      <t>Enero - Diciembre 2018  VS.   Enero - Diciembre 2017  (</t>
    </r>
    <r>
      <rPr>
        <b/>
        <sz val="16"/>
        <rFont val="Arial Narrow"/>
        <family val="2"/>
      </rPr>
      <t>En Quintal</t>
    </r>
    <r>
      <rPr>
        <b/>
        <sz val="12"/>
        <rFont val="Arial Narrow"/>
        <family val="2"/>
      </rPr>
      <t>)</t>
    </r>
  </si>
  <si>
    <t>Enero - Diciembre,                                                                                                    2017</t>
  </si>
  <si>
    <t>Enero - Diciembre,                                                                                                                  2018*</t>
  </si>
  <si>
    <t xml:space="preserve">Tasa de Crec %      Enero - Diciembre 2018*                                 VS.                                                 Enero - Diciembre  2017 </t>
  </si>
  <si>
    <t>Enero - Diciembre 2018  VS.   Enero - Diciembre 2017</t>
  </si>
  <si>
    <t>Elaborado: Ministerio de Agricultura. Departamento de Economía Agropecuaria y Estadísticas</t>
  </si>
  <si>
    <t>* Datos Preliminares</t>
  </si>
  <si>
    <t>2020*</t>
  </si>
  <si>
    <t>Producción de  Productos  Pecuarios, 2020 Vs. 2019</t>
  </si>
  <si>
    <t>Viceministerio de Planificación Sectorial Agropecuaria</t>
  </si>
  <si>
    <t>Departamento de Economía Agropecuaria y Estadísticas</t>
  </si>
  <si>
    <r>
      <t>Cerdos                             (Kilogramos</t>
    </r>
    <r>
      <rPr>
        <b/>
        <sz val="9"/>
        <rFont val="Cambria"/>
        <family val="1"/>
      </rPr>
      <t>)</t>
    </r>
  </si>
  <si>
    <r>
      <t xml:space="preserve">Pollos Terminados                                                                                                   </t>
    </r>
    <r>
      <rPr>
        <b/>
        <sz val="9"/>
        <rFont val="Cambria"/>
        <family val="1"/>
      </rPr>
      <t>( Unidades)</t>
    </r>
  </si>
  <si>
    <r>
      <t xml:space="preserve">Huevos                             </t>
    </r>
    <r>
      <rPr>
        <b/>
        <sz val="9"/>
        <rFont val="Cambria"/>
        <family val="1"/>
      </rPr>
      <t xml:space="preserve"> (Unidades)</t>
    </r>
  </si>
  <si>
    <r>
      <t xml:space="preserve">Bovinos                             </t>
    </r>
    <r>
      <rPr>
        <b/>
        <sz val="9"/>
        <rFont val="Cambria"/>
        <family val="1"/>
      </rPr>
      <t xml:space="preserve"> (Kilogramos)</t>
    </r>
  </si>
  <si>
    <r>
      <t xml:space="preserve">Miel                            </t>
    </r>
    <r>
      <rPr>
        <b/>
        <sz val="9"/>
        <rFont val="Cambria"/>
        <family val="1"/>
      </rPr>
      <t xml:space="preserve">(Kilogramos) </t>
    </r>
  </si>
  <si>
    <r>
      <t xml:space="preserve">Leche                          </t>
    </r>
    <r>
      <rPr>
        <b/>
        <sz val="9"/>
        <rFont val="Cambria"/>
        <family val="1"/>
      </rPr>
      <t xml:space="preserve">( Litros) </t>
    </r>
  </si>
  <si>
    <r>
      <t xml:space="preserve">Leche                         </t>
    </r>
    <r>
      <rPr>
        <b/>
        <sz val="9"/>
        <rFont val="Cambria"/>
        <family val="1"/>
      </rPr>
      <t xml:space="preserve">( Litros) </t>
    </r>
  </si>
  <si>
    <r>
      <t>FUENTE:</t>
    </r>
    <r>
      <rPr>
        <sz val="8"/>
        <rFont val="Arial Narrow"/>
        <family val="2"/>
      </rPr>
      <t xml:space="preserve"> Consejo Nacional de Producción Pecuaria. (CONAPROPE); Dirección General de Ganaderia. (DIGEGA).</t>
    </r>
  </si>
  <si>
    <t>Notas:</t>
  </si>
  <si>
    <t>Rendimiento en canal de  166,67 libras , para la convensión en carne de un cerdo (promedio). Un cerdo tiene un peso promedio considerado de  220 libras</t>
  </si>
  <si>
    <t>Rendimiento en canal de  3,6 libras, para la convensión en carne de un pollo (promedio). Un pollo, tiene un peso promedio considerado de 4.3 libras</t>
  </si>
  <si>
    <t>Diciembre</t>
  </si>
  <si>
    <t xml:space="preserve"> El mes de diciembre es estimado por el dpto de Economía Agropecuaria y Estadísticas</t>
  </si>
  <si>
    <t>Noviembre</t>
  </si>
  <si>
    <t>Grasa Vegetal</t>
  </si>
  <si>
    <t>Maíz</t>
  </si>
  <si>
    <t>Harina de Soya</t>
  </si>
  <si>
    <t>Octubre</t>
  </si>
  <si>
    <t>Septiembre</t>
  </si>
  <si>
    <t>Precios en  US$</t>
  </si>
  <si>
    <t>COMPARATIVO PRECIOS LOCALES DE LA MATERIA PRIMA, UTILIZADA EN LA PRODUCCION DE POLLO, CERDO Y HUEVO DE CONSUMO (EN TONELADA)</t>
  </si>
  <si>
    <t>Variación % mensual</t>
  </si>
  <si>
    <t xml:space="preserve">COMPARATIVO PRECIOS INTERNACIONALES DE LA MATERIA PRIMA,  UTILIZADA EN LA PRODUCCION DE POLLO, CERDO Y HUEVOS DE CONSUMO                                                        (EN TONELADA). </t>
  </si>
  <si>
    <r>
      <t xml:space="preserve">Nota: </t>
    </r>
    <r>
      <rPr>
        <sz val="8"/>
        <rFont val="Arial Narrow"/>
        <family val="2"/>
      </rPr>
      <t>Precios del Dollar en Septiembre, RD$58.4358; OctubreRD$58.5079; Noviembre RD$58.4826; Y Diciembre RD$58.2332</t>
    </r>
    <r>
      <rPr>
        <b/>
        <sz val="8"/>
        <rFont val="Arial Narrow"/>
        <family val="2"/>
      </rPr>
      <t>.</t>
    </r>
  </si>
  <si>
    <t>: http://www.investing.com/commodities/grains</t>
  </si>
  <si>
    <r>
      <t xml:space="preserve">FUENTES: </t>
    </r>
    <r>
      <rPr>
        <sz val="8"/>
        <rFont val="Arial Narrow"/>
        <family val="2"/>
      </rPr>
      <t xml:space="preserve"> Consejo Nacional de Producción Pecuaria (CONAPROPE),</t>
    </r>
    <r>
      <rPr>
        <b/>
        <sz val="8"/>
        <rFont val="Arial Narrow"/>
        <family val="2"/>
      </rPr>
      <t>http://www.investing.com/commodities/grains</t>
    </r>
  </si>
  <si>
    <t xml:space="preserve">Notas: </t>
  </si>
  <si>
    <t>Resaltando que el dato de carne de cerdo en el mes de Junio presenta incongruencia debido a que el matadero prodenor, se encuentra operando actualmente.</t>
  </si>
  <si>
    <t>Cerdos (Kilogramos)</t>
  </si>
  <si>
    <t>Huevos (Unidades)</t>
  </si>
  <si>
    <t>Bovinos (Kilogramos)</t>
  </si>
  <si>
    <t xml:space="preserve">Miel (Kilogramos) </t>
  </si>
  <si>
    <t>Pollos Terminados      (Unidades)</t>
  </si>
  <si>
    <r>
      <t>FUENTE:</t>
    </r>
    <r>
      <rPr>
        <sz val="8"/>
        <rFont val="Calibri"/>
        <family val="2"/>
        <scheme val="minor"/>
      </rPr>
      <t xml:space="preserve"> Consejo Nacional de Producción Pecuaria. (CONAPROPE); Dirección General de Ganaderia. (DIGEGA).</t>
    </r>
  </si>
  <si>
    <t>Elaborado: Ministerio de Agricultura. Departamento de Economía Agropecuaria y Estadísticas.</t>
  </si>
  <si>
    <t>2026*</t>
  </si>
  <si>
    <t>Producción de  Productos  Pecuarios,  2026</t>
  </si>
  <si>
    <t xml:space="preserve">Leche                    (Litros)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</si>
</sst>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  <numFmt numFmtId="166" formatCode="#,##0.0"/>
    <numFmt numFmtId="167" formatCode="_(* #,##0.0_);_(* \(#,##0.0\);_(* &quot;-&quot;??_);_(@_)"/>
    <numFmt numFmtId="168" formatCode="_(* #,##0.000_);_(* \(#,##0.000\);_(* &quot;-&quot;???_);_(@_)"/>
    <numFmt numFmtId="169" formatCode="_(* #,##0.000_);_(* \(#,##0.000\);_(* &quot;-&quot;??_);_(@_)"/>
    <numFmt numFmtId="170" formatCode="_-* #,##0.00_-;\-* #,##0.00_-;_-* &quot;-&quot;??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sz val="7"/>
      <name val="Arial Narrow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9"/>
      <color indexed="8"/>
      <name val="Arial Narrow"/>
      <family val="2"/>
    </font>
    <font>
      <sz val="10"/>
      <color indexed="8"/>
      <name val="Arial Narrow"/>
      <family val="2"/>
    </font>
    <font>
      <b/>
      <sz val="9"/>
      <color indexed="8"/>
      <name val="Arial Narrow"/>
      <family val="2"/>
    </font>
    <font>
      <b/>
      <sz val="10"/>
      <color indexed="8"/>
      <name val="Arial Narrow"/>
      <family val="2"/>
    </font>
    <font>
      <b/>
      <sz val="7"/>
      <name val="Arial Narrow"/>
      <family val="2"/>
    </font>
    <font>
      <i/>
      <sz val="10"/>
      <name val="Arial Narrow"/>
      <family val="2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9"/>
      <name val="Arial Narrow"/>
      <family val="2"/>
    </font>
    <font>
      <b/>
      <sz val="9"/>
      <name val="Calibri"/>
      <family val="2"/>
    </font>
    <font>
      <sz val="9"/>
      <name val="Arial Narrow"/>
      <family val="2"/>
    </font>
    <font>
      <b/>
      <sz val="11"/>
      <name val="Arial Narrow"/>
      <family val="2"/>
    </font>
    <font>
      <b/>
      <sz val="9"/>
      <color theme="1"/>
      <name val="Arial Narrow"/>
      <family val="2"/>
    </font>
    <font>
      <b/>
      <sz val="12"/>
      <color theme="0"/>
      <name val="Arial Narrow"/>
      <family val="2"/>
    </font>
    <font>
      <sz val="10"/>
      <color theme="0"/>
      <name val="Arial Narrow"/>
      <family val="2"/>
    </font>
    <font>
      <b/>
      <sz val="11"/>
      <name val="Calibri"/>
      <family val="2"/>
      <scheme val="minor"/>
    </font>
    <font>
      <b/>
      <sz val="16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name val="Calibri Light"/>
      <family val="2"/>
    </font>
    <font>
      <b/>
      <sz val="10"/>
      <color theme="1"/>
      <name val="Cambria"/>
      <family val="1"/>
    </font>
    <font>
      <b/>
      <sz val="9"/>
      <color theme="1"/>
      <name val="Cambria"/>
      <family val="1"/>
    </font>
    <font>
      <b/>
      <sz val="9"/>
      <name val="Cambria"/>
      <family val="1"/>
    </font>
    <font>
      <b/>
      <sz val="8"/>
      <name val="Arial Narrow"/>
      <family val="2"/>
    </font>
    <font>
      <b/>
      <sz val="10"/>
      <color theme="1"/>
      <name val="Calibri Light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220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43" fontId="5" fillId="2" borderId="0" xfId="1" applyFont="1" applyFill="1"/>
    <xf numFmtId="0" fontId="3" fillId="0" borderId="0" xfId="0" applyFont="1"/>
    <xf numFmtId="0" fontId="6" fillId="3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5" fillId="4" borderId="0" xfId="0" applyFont="1" applyFill="1"/>
    <xf numFmtId="0" fontId="7" fillId="4" borderId="0" xfId="0" applyFont="1" applyFill="1" applyAlignment="1">
      <alignment horizontal="center" wrapText="1"/>
    </xf>
    <xf numFmtId="0" fontId="0" fillId="2" borderId="0" xfId="0" applyFill="1" applyAlignment="1">
      <alignment horizontal="left" vertical="center"/>
    </xf>
    <xf numFmtId="0" fontId="7" fillId="2" borderId="0" xfId="0" applyFont="1" applyFill="1" applyAlignment="1">
      <alignment horizontal="center" wrapText="1"/>
    </xf>
    <xf numFmtId="43" fontId="7" fillId="2" borderId="0" xfId="1" applyFont="1" applyFill="1" applyAlignment="1">
      <alignment horizontal="center" wrapText="1"/>
    </xf>
    <xf numFmtId="0" fontId="9" fillId="2" borderId="0" xfId="0" applyFont="1" applyFill="1" applyAlignment="1">
      <alignment horizontal="left"/>
    </xf>
    <xf numFmtId="165" fontId="10" fillId="2" borderId="0" xfId="1" applyNumberFormat="1" applyFont="1" applyFill="1" applyAlignment="1">
      <alignment horizontal="center"/>
    </xf>
    <xf numFmtId="1" fontId="0" fillId="0" borderId="0" xfId="0" applyNumberFormat="1"/>
    <xf numFmtId="0" fontId="11" fillId="2" borderId="0" xfId="0" applyFont="1" applyFill="1" applyAlignment="1">
      <alignment horizontal="left"/>
    </xf>
    <xf numFmtId="165" fontId="12" fillId="2" borderId="2" xfId="1" applyNumberFormat="1" applyFont="1" applyFill="1" applyBorder="1" applyAlignment="1">
      <alignment horizontal="left"/>
    </xf>
    <xf numFmtId="2" fontId="12" fillId="2" borderId="2" xfId="0" applyNumberFormat="1" applyFont="1" applyFill="1" applyBorder="1" applyAlignment="1">
      <alignment horizontal="center"/>
    </xf>
    <xf numFmtId="3" fontId="3" fillId="2" borderId="0" xfId="0" applyNumberFormat="1" applyFont="1" applyFill="1"/>
    <xf numFmtId="0" fontId="13" fillId="2" borderId="0" xfId="0" applyFont="1" applyFill="1"/>
    <xf numFmtId="0" fontId="14" fillId="2" borderId="0" xfId="0" applyFont="1" applyFill="1"/>
    <xf numFmtId="0" fontId="2" fillId="2" borderId="0" xfId="0" applyFont="1" applyFill="1"/>
    <xf numFmtId="0" fontId="15" fillId="2" borderId="0" xfId="0" applyFont="1" applyFill="1"/>
    <xf numFmtId="0" fontId="5" fillId="4" borderId="4" xfId="0" applyFont="1" applyFill="1" applyBorder="1"/>
    <xf numFmtId="0" fontId="3" fillId="2" borderId="5" xfId="0" applyFont="1" applyFill="1" applyBorder="1" applyAlignment="1">
      <alignment horizontal="center" wrapText="1"/>
    </xf>
    <xf numFmtId="2" fontId="10" fillId="2" borderId="5" xfId="0" applyNumberFormat="1" applyFont="1" applyFill="1" applyBorder="1" applyAlignment="1">
      <alignment horizontal="right"/>
    </xf>
    <xf numFmtId="2" fontId="10" fillId="2" borderId="6" xfId="0" applyNumberFormat="1" applyFont="1" applyFill="1" applyBorder="1" applyAlignment="1">
      <alignment horizontal="right"/>
    </xf>
    <xf numFmtId="0" fontId="5" fillId="4" borderId="5" xfId="0" applyFont="1" applyFill="1" applyBorder="1"/>
    <xf numFmtId="165" fontId="12" fillId="2" borderId="3" xfId="1" applyNumberFormat="1" applyFont="1" applyFill="1" applyBorder="1" applyAlignment="1">
      <alignment horizontal="left"/>
    </xf>
    <xf numFmtId="0" fontId="16" fillId="0" borderId="0" xfId="0" applyFont="1" applyAlignment="1">
      <alignment horizontal="left" vertical="center" wrapText="1"/>
    </xf>
    <xf numFmtId="0" fontId="5" fillId="2" borderId="0" xfId="0" applyFont="1" applyFill="1"/>
    <xf numFmtId="0" fontId="7" fillId="4" borderId="1" xfId="0" applyFont="1" applyFill="1" applyBorder="1" applyAlignment="1">
      <alignment horizontal="center" vertical="center" wrapText="1"/>
    </xf>
    <xf numFmtId="2" fontId="10" fillId="2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 wrapText="1"/>
    </xf>
    <xf numFmtId="165" fontId="12" fillId="2" borderId="3" xfId="1" applyNumberFormat="1" applyFont="1" applyFill="1" applyBorder="1" applyAlignment="1">
      <alignment horizontal="center"/>
    </xf>
    <xf numFmtId="43" fontId="10" fillId="2" borderId="0" xfId="1" applyFont="1" applyFill="1" applyAlignment="1">
      <alignment horizontal="center"/>
    </xf>
    <xf numFmtId="0" fontId="17" fillId="2" borderId="0" xfId="0" applyFont="1" applyFill="1"/>
    <xf numFmtId="0" fontId="9" fillId="2" borderId="0" xfId="0" applyFont="1" applyFill="1"/>
    <xf numFmtId="43" fontId="0" fillId="2" borderId="0" xfId="1" applyFont="1" applyFill="1"/>
    <xf numFmtId="2" fontId="0" fillId="0" borderId="0" xfId="0" applyNumberFormat="1"/>
    <xf numFmtId="43" fontId="0" fillId="0" borderId="0" xfId="1" applyFont="1"/>
    <xf numFmtId="0" fontId="10" fillId="2" borderId="0" xfId="1" applyNumberFormat="1" applyFont="1" applyFill="1" applyAlignment="1">
      <alignment horizontal="center"/>
    </xf>
    <xf numFmtId="165" fontId="7" fillId="2" borderId="10" xfId="1" applyNumberFormat="1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165" fontId="10" fillId="2" borderId="10" xfId="1" applyNumberFormat="1" applyFont="1" applyFill="1" applyBorder="1" applyAlignment="1">
      <alignment horizontal="left"/>
    </xf>
    <xf numFmtId="2" fontId="10" fillId="2" borderId="11" xfId="0" applyNumberFormat="1" applyFont="1" applyFill="1" applyBorder="1" applyAlignment="1">
      <alignment horizontal="center"/>
    </xf>
    <xf numFmtId="165" fontId="12" fillId="2" borderId="12" xfId="1" applyNumberFormat="1" applyFont="1" applyFill="1" applyBorder="1" applyAlignment="1">
      <alignment horizontal="left"/>
    </xf>
    <xf numFmtId="2" fontId="12" fillId="2" borderId="13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wrapText="1"/>
    </xf>
    <xf numFmtId="0" fontId="0" fillId="2" borderId="11" xfId="0" applyFill="1" applyBorder="1"/>
    <xf numFmtId="165" fontId="10" fillId="2" borderId="10" xfId="1" applyNumberFormat="1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43" fontId="15" fillId="2" borderId="0" xfId="0" applyNumberFormat="1" applyFont="1" applyFill="1"/>
    <xf numFmtId="43" fontId="0" fillId="0" borderId="0" xfId="0" applyNumberFormat="1"/>
    <xf numFmtId="43" fontId="12" fillId="2" borderId="2" xfId="1" applyFont="1" applyFill="1" applyBorder="1" applyAlignment="1">
      <alignment horizontal="left"/>
    </xf>
    <xf numFmtId="165" fontId="10" fillId="2" borderId="14" xfId="1" applyNumberFormat="1" applyFont="1" applyFill="1" applyBorder="1" applyAlignment="1">
      <alignment horizontal="left"/>
    </xf>
    <xf numFmtId="2" fontId="10" fillId="2" borderId="1" xfId="0" applyNumberFormat="1" applyFont="1" applyFill="1" applyBorder="1" applyAlignment="1">
      <alignment horizontal="center"/>
    </xf>
    <xf numFmtId="2" fontId="10" fillId="2" borderId="15" xfId="0" applyNumberFormat="1" applyFont="1" applyFill="1" applyBorder="1" applyAlignment="1">
      <alignment horizontal="center"/>
    </xf>
    <xf numFmtId="43" fontId="12" fillId="2" borderId="2" xfId="1" applyFont="1" applyFill="1" applyBorder="1" applyAlignment="1">
      <alignment horizontal="center"/>
    </xf>
    <xf numFmtId="43" fontId="10" fillId="5" borderId="0" xfId="1" applyFont="1" applyFill="1" applyAlignment="1">
      <alignment horizontal="center"/>
    </xf>
    <xf numFmtId="165" fontId="0" fillId="0" borderId="0" xfId="1" applyNumberFormat="1" applyFont="1"/>
    <xf numFmtId="0" fontId="7" fillId="4" borderId="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9" fillId="2" borderId="3" xfId="0" applyFont="1" applyFill="1" applyBorder="1"/>
    <xf numFmtId="3" fontId="3" fillId="2" borderId="3" xfId="0" applyNumberFormat="1" applyFont="1" applyFill="1" applyBorder="1"/>
    <xf numFmtId="10" fontId="8" fillId="2" borderId="3" xfId="2" applyNumberFormat="1" applyFont="1" applyFill="1" applyBorder="1"/>
    <xf numFmtId="166" fontId="3" fillId="2" borderId="3" xfId="0" applyNumberFormat="1" applyFont="1" applyFill="1" applyBorder="1"/>
    <xf numFmtId="0" fontId="6" fillId="3" borderId="0" xfId="0" applyFont="1" applyFill="1" applyAlignment="1">
      <alignment vertical="center" wrapText="1"/>
    </xf>
    <xf numFmtId="165" fontId="0" fillId="0" borderId="0" xfId="0" applyNumberFormat="1"/>
    <xf numFmtId="165" fontId="12" fillId="2" borderId="13" xfId="1" applyNumberFormat="1" applyFont="1" applyFill="1" applyBorder="1" applyAlignment="1">
      <alignment horizontal="left"/>
    </xf>
    <xf numFmtId="0" fontId="7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9" fillId="2" borderId="10" xfId="0" applyFont="1" applyFill="1" applyBorder="1" applyAlignment="1">
      <alignment horizontal="left"/>
    </xf>
    <xf numFmtId="0" fontId="0" fillId="2" borderId="10" xfId="0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/>
    </xf>
    <xf numFmtId="0" fontId="21" fillId="4" borderId="14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wrapText="1"/>
    </xf>
    <xf numFmtId="0" fontId="21" fillId="4" borderId="15" xfId="0" applyFont="1" applyFill="1" applyBorder="1" applyAlignment="1">
      <alignment horizontal="center" wrapText="1"/>
    </xf>
    <xf numFmtId="165" fontId="10" fillId="2" borderId="11" xfId="1" applyNumberFormat="1" applyFont="1" applyFill="1" applyBorder="1" applyAlignment="1">
      <alignment horizontal="center"/>
    </xf>
    <xf numFmtId="165" fontId="12" fillId="2" borderId="13" xfId="1" applyNumberFormat="1" applyFont="1" applyFill="1" applyBorder="1" applyAlignment="1">
      <alignment horizontal="center"/>
    </xf>
    <xf numFmtId="165" fontId="12" fillId="2" borderId="2" xfId="1" applyNumberFormat="1" applyFont="1" applyFill="1" applyBorder="1" applyAlignment="1">
      <alignment horizontal="center"/>
    </xf>
    <xf numFmtId="0" fontId="6" fillId="3" borderId="0" xfId="0" applyFont="1" applyFill="1" applyAlignment="1">
      <alignment vertical="center"/>
    </xf>
    <xf numFmtId="0" fontId="8" fillId="4" borderId="0" xfId="0" applyFont="1" applyFill="1"/>
    <xf numFmtId="3" fontId="8" fillId="4" borderId="0" xfId="0" applyNumberFormat="1" applyFont="1" applyFill="1"/>
    <xf numFmtId="10" fontId="8" fillId="4" borderId="0" xfId="2" applyNumberFormat="1" applyFont="1" applyFill="1"/>
    <xf numFmtId="165" fontId="12" fillId="2" borderId="0" xfId="1" applyNumberFormat="1" applyFont="1" applyFill="1" applyAlignment="1">
      <alignment horizontal="left"/>
    </xf>
    <xf numFmtId="0" fontId="15" fillId="0" borderId="0" xfId="0" applyFont="1"/>
    <xf numFmtId="43" fontId="15" fillId="0" borderId="0" xfId="1" applyFont="1"/>
    <xf numFmtId="0" fontId="2" fillId="0" borderId="0" xfId="0" applyFont="1"/>
    <xf numFmtId="43" fontId="2" fillId="0" borderId="0" xfId="1" applyFont="1"/>
    <xf numFmtId="0" fontId="22" fillId="3" borderId="0" xfId="0" applyFont="1" applyFill="1" applyAlignment="1">
      <alignment vertical="center" wrapText="1"/>
    </xf>
    <xf numFmtId="0" fontId="22" fillId="3" borderId="0" xfId="0" applyFont="1" applyFill="1" applyAlignment="1">
      <alignment vertical="center"/>
    </xf>
    <xf numFmtId="0" fontId="22" fillId="3" borderId="0" xfId="0" applyFont="1" applyFill="1" applyAlignment="1">
      <alignment horizontal="center" vertical="center"/>
    </xf>
    <xf numFmtId="0" fontId="23" fillId="2" borderId="0" xfId="0" applyFont="1" applyFill="1"/>
    <xf numFmtId="0" fontId="24" fillId="0" borderId="0" xfId="0" applyFont="1"/>
    <xf numFmtId="10" fontId="0" fillId="0" borderId="0" xfId="2" applyNumberFormat="1" applyFont="1"/>
    <xf numFmtId="0" fontId="16" fillId="0" borderId="0" xfId="0" applyFont="1"/>
    <xf numFmtId="10" fontId="24" fillId="0" borderId="0" xfId="2" applyNumberFormat="1" applyFont="1"/>
    <xf numFmtId="10" fontId="15" fillId="0" borderId="0" xfId="2" applyNumberFormat="1" applyFont="1"/>
    <xf numFmtId="10" fontId="0" fillId="0" borderId="0" xfId="1" applyNumberFormat="1" applyFont="1"/>
    <xf numFmtId="0" fontId="17" fillId="2" borderId="3" xfId="0" applyFont="1" applyFill="1" applyBorder="1"/>
    <xf numFmtId="0" fontId="0" fillId="0" borderId="3" xfId="0" applyBorder="1"/>
    <xf numFmtId="165" fontId="10" fillId="2" borderId="3" xfId="1" applyNumberFormat="1" applyFont="1" applyFill="1" applyBorder="1" applyAlignment="1">
      <alignment horizontal="center"/>
    </xf>
    <xf numFmtId="165" fontId="0" fillId="0" borderId="3" xfId="0" applyNumberFormat="1" applyBorder="1"/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43" fontId="7" fillId="2" borderId="8" xfId="1" applyFont="1" applyFill="1" applyBorder="1" applyAlignment="1">
      <alignment horizontal="center" wrapText="1"/>
    </xf>
    <xf numFmtId="0" fontId="0" fillId="2" borderId="9" xfId="0" applyFill="1" applyBorder="1"/>
    <xf numFmtId="165" fontId="10" fillId="2" borderId="14" xfId="1" applyNumberFormat="1" applyFont="1" applyFill="1" applyBorder="1" applyAlignment="1">
      <alignment horizontal="center"/>
    </xf>
    <xf numFmtId="165" fontId="10" fillId="2" borderId="1" xfId="1" applyNumberFormat="1" applyFont="1" applyFill="1" applyBorder="1" applyAlignment="1">
      <alignment horizontal="center"/>
    </xf>
    <xf numFmtId="165" fontId="10" fillId="2" borderId="15" xfId="1" applyNumberFormat="1" applyFont="1" applyFill="1" applyBorder="1" applyAlignment="1">
      <alignment horizontal="center"/>
    </xf>
    <xf numFmtId="164" fontId="0" fillId="0" borderId="0" xfId="0" applyNumberFormat="1"/>
    <xf numFmtId="0" fontId="19" fillId="2" borderId="0" xfId="0" applyFont="1" applyFill="1"/>
    <xf numFmtId="164" fontId="0" fillId="0" borderId="0" xfId="1" applyNumberFormat="1" applyFont="1"/>
    <xf numFmtId="0" fontId="7" fillId="4" borderId="0" xfId="0" applyFont="1" applyFill="1" applyAlignment="1">
      <alignment horizontal="center" vertical="justify" wrapText="1"/>
    </xf>
    <xf numFmtId="165" fontId="10" fillId="2" borderId="5" xfId="1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/>
    </xf>
    <xf numFmtId="0" fontId="0" fillId="2" borderId="15" xfId="0" applyFill="1" applyBorder="1"/>
    <xf numFmtId="0" fontId="11" fillId="6" borderId="10" xfId="0" applyFont="1" applyFill="1" applyBorder="1" applyAlignment="1">
      <alignment horizontal="left"/>
    </xf>
    <xf numFmtId="167" fontId="12" fillId="6" borderId="0" xfId="1" applyNumberFormat="1" applyFont="1" applyFill="1" applyAlignment="1">
      <alignment horizontal="center"/>
    </xf>
    <xf numFmtId="165" fontId="10" fillId="2" borderId="0" xfId="1" applyNumberFormat="1" applyFont="1" applyFill="1" applyBorder="1" applyAlignment="1">
      <alignment horizontal="center"/>
    </xf>
    <xf numFmtId="167" fontId="5" fillId="2" borderId="0" xfId="0" applyNumberFormat="1" applyFont="1" applyFill="1"/>
    <xf numFmtId="165" fontId="0" fillId="2" borderId="0" xfId="0" applyNumberFormat="1" applyFill="1"/>
    <xf numFmtId="168" fontId="0" fillId="2" borderId="0" xfId="0" applyNumberFormat="1" applyFill="1"/>
    <xf numFmtId="167" fontId="12" fillId="6" borderId="10" xfId="1" applyNumberFormat="1" applyFont="1" applyFill="1" applyBorder="1" applyAlignment="1">
      <alignment horizontal="center"/>
    </xf>
    <xf numFmtId="0" fontId="26" fillId="2" borderId="10" xfId="0" applyFont="1" applyFill="1" applyBorder="1"/>
    <xf numFmtId="165" fontId="0" fillId="2" borderId="0" xfId="1" applyNumberFormat="1" applyFont="1" applyFill="1"/>
    <xf numFmtId="0" fontId="28" fillId="7" borderId="7" xfId="0" applyFont="1" applyFill="1" applyBorder="1" applyAlignment="1">
      <alignment horizontal="center" vertical="center" wrapText="1"/>
    </xf>
    <xf numFmtId="0" fontId="29" fillId="7" borderId="14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wrapText="1"/>
    </xf>
    <xf numFmtId="0" fontId="29" fillId="7" borderId="15" xfId="0" applyFont="1" applyFill="1" applyBorder="1" applyAlignment="1">
      <alignment horizontal="center" wrapText="1"/>
    </xf>
    <xf numFmtId="0" fontId="29" fillId="7" borderId="0" xfId="0" applyFont="1" applyFill="1" applyAlignment="1">
      <alignment horizontal="center" wrapText="1"/>
    </xf>
    <xf numFmtId="0" fontId="29" fillId="7" borderId="11" xfId="0" applyFont="1" applyFill="1" applyBorder="1" applyAlignment="1">
      <alignment horizontal="center" wrapText="1"/>
    </xf>
    <xf numFmtId="0" fontId="5" fillId="7" borderId="0" xfId="0" applyFont="1" applyFill="1"/>
    <xf numFmtId="3" fontId="5" fillId="2" borderId="0" xfId="0" applyNumberFormat="1" applyFont="1" applyFill="1"/>
    <xf numFmtId="0" fontId="31" fillId="2" borderId="0" xfId="0" applyFont="1" applyFill="1"/>
    <xf numFmtId="165" fontId="10" fillId="2" borderId="0" xfId="6" applyNumberFormat="1" applyFont="1" applyFill="1" applyBorder="1" applyAlignment="1" applyProtection="1">
      <alignment horizontal="center"/>
    </xf>
    <xf numFmtId="165" fontId="10" fillId="2" borderId="0" xfId="6" applyNumberFormat="1" applyFont="1" applyFill="1" applyBorder="1" applyAlignment="1" applyProtection="1">
      <alignment horizontal="center" vertical="center"/>
    </xf>
    <xf numFmtId="167" fontId="12" fillId="6" borderId="0" xfId="1" applyNumberFormat="1" applyFont="1" applyFill="1" applyBorder="1" applyAlignment="1">
      <alignment horizontal="center"/>
    </xf>
    <xf numFmtId="169" fontId="10" fillId="2" borderId="0" xfId="1" applyNumberFormat="1" applyFont="1" applyFill="1" applyBorder="1" applyAlignment="1" applyProtection="1">
      <alignment horizontal="center"/>
    </xf>
    <xf numFmtId="169" fontId="0" fillId="2" borderId="0" xfId="1" applyNumberFormat="1" applyFont="1" applyFill="1" applyBorder="1"/>
    <xf numFmtId="169" fontId="10" fillId="2" borderId="0" xfId="1" applyNumberFormat="1" applyFont="1" applyFill="1" applyBorder="1" applyAlignment="1" applyProtection="1">
      <alignment horizontal="center" vertical="center"/>
    </xf>
    <xf numFmtId="167" fontId="0" fillId="2" borderId="0" xfId="1" applyNumberFormat="1" applyFont="1" applyFill="1"/>
    <xf numFmtId="0" fontId="32" fillId="2" borderId="0" xfId="0" applyFont="1" applyFill="1" applyAlignment="1">
      <alignment horizontal="center" wrapText="1"/>
    </xf>
    <xf numFmtId="0" fontId="33" fillId="2" borderId="0" xfId="0" applyFont="1" applyFill="1" applyAlignment="1">
      <alignment horizontal="center"/>
    </xf>
    <xf numFmtId="0" fontId="32" fillId="2" borderId="0" xfId="0" applyFont="1" applyFill="1" applyAlignment="1">
      <alignment wrapText="1"/>
    </xf>
    <xf numFmtId="0" fontId="32" fillId="2" borderId="19" xfId="0" applyFont="1" applyFill="1" applyBorder="1" applyAlignment="1">
      <alignment horizontal="center" wrapText="1"/>
    </xf>
    <xf numFmtId="0" fontId="26" fillId="2" borderId="16" xfId="0" applyFont="1" applyFill="1" applyBorder="1" applyAlignment="1">
      <alignment horizontal="center"/>
    </xf>
    <xf numFmtId="0" fontId="26" fillId="2" borderId="18" xfId="0" applyFont="1" applyFill="1" applyBorder="1" applyAlignment="1">
      <alignment horizontal="center"/>
    </xf>
    <xf numFmtId="0" fontId="33" fillId="2" borderId="0" xfId="0" applyFont="1" applyFill="1" applyAlignment="1">
      <alignment horizontal="left"/>
    </xf>
    <xf numFmtId="0" fontId="32" fillId="8" borderId="0" xfId="0" applyFont="1" applyFill="1" applyAlignment="1">
      <alignment wrapText="1"/>
    </xf>
    <xf numFmtId="0" fontId="26" fillId="2" borderId="18" xfId="0" applyFont="1" applyFill="1" applyBorder="1" applyAlignment="1">
      <alignment horizontal="center" wrapText="1"/>
    </xf>
    <xf numFmtId="0" fontId="26" fillId="2" borderId="17" xfId="0" applyFont="1" applyFill="1" applyBorder="1" applyAlignment="1">
      <alignment horizontal="center" wrapText="1"/>
    </xf>
    <xf numFmtId="2" fontId="32" fillId="2" borderId="0" xfId="0" applyNumberFormat="1" applyFont="1" applyFill="1" applyAlignment="1">
      <alignment wrapText="1"/>
    </xf>
    <xf numFmtId="167" fontId="32" fillId="2" borderId="0" xfId="0" applyNumberFormat="1" applyFont="1" applyFill="1" applyAlignment="1">
      <alignment wrapText="1"/>
    </xf>
    <xf numFmtId="165" fontId="5" fillId="2" borderId="0" xfId="1" applyNumberFormat="1" applyFont="1" applyFill="1"/>
    <xf numFmtId="165" fontId="10" fillId="2" borderId="0" xfId="1" applyNumberFormat="1" applyFont="1" applyFill="1" applyBorder="1" applyAlignment="1" applyProtection="1">
      <alignment horizontal="center"/>
    </xf>
    <xf numFmtId="0" fontId="36" fillId="9" borderId="18" xfId="0" applyFont="1" applyFill="1" applyBorder="1" applyAlignment="1">
      <alignment horizontal="center" wrapText="1"/>
    </xf>
    <xf numFmtId="0" fontId="36" fillId="9" borderId="17" xfId="0" applyFont="1" applyFill="1" applyBorder="1" applyAlignment="1">
      <alignment horizontal="center" wrapText="1"/>
    </xf>
    <xf numFmtId="0" fontId="33" fillId="2" borderId="10" xfId="0" applyFont="1" applyFill="1" applyBorder="1" applyAlignment="1">
      <alignment horizontal="center" wrapText="1"/>
    </xf>
    <xf numFmtId="0" fontId="33" fillId="2" borderId="0" xfId="0" applyFont="1" applyFill="1" applyAlignment="1">
      <alignment horizontal="center" wrapText="1"/>
    </xf>
    <xf numFmtId="43" fontId="33" fillId="2" borderId="0" xfId="1" applyFont="1" applyFill="1" applyBorder="1" applyAlignment="1">
      <alignment horizontal="center" wrapText="1"/>
    </xf>
    <xf numFmtId="165" fontId="38" fillId="2" borderId="0" xfId="1" applyNumberFormat="1" applyFont="1" applyFill="1" applyBorder="1" applyAlignment="1">
      <alignment horizontal="center"/>
    </xf>
    <xf numFmtId="0" fontId="38" fillId="2" borderId="14" xfId="0" applyFont="1" applyFill="1" applyBorder="1" applyAlignment="1">
      <alignment horizontal="left"/>
    </xf>
    <xf numFmtId="165" fontId="38" fillId="2" borderId="1" xfId="1" applyNumberFormat="1" applyFont="1" applyFill="1" applyBorder="1" applyAlignment="1">
      <alignment horizontal="center"/>
    </xf>
    <xf numFmtId="2" fontId="38" fillId="2" borderId="1" xfId="0" applyNumberFormat="1" applyFont="1" applyFill="1" applyBorder="1" applyAlignment="1">
      <alignment horizontal="center"/>
    </xf>
    <xf numFmtId="165" fontId="38" fillId="2" borderId="14" xfId="1" applyNumberFormat="1" applyFont="1" applyFill="1" applyBorder="1" applyAlignment="1">
      <alignment horizontal="center"/>
    </xf>
    <xf numFmtId="165" fontId="38" fillId="2" borderId="15" xfId="1" applyNumberFormat="1" applyFont="1" applyFill="1" applyBorder="1" applyAlignment="1">
      <alignment horizontal="center"/>
    </xf>
    <xf numFmtId="0" fontId="26" fillId="2" borderId="0" xfId="0" applyFont="1" applyFill="1"/>
    <xf numFmtId="0" fontId="37" fillId="2" borderId="22" xfId="0" applyFont="1" applyFill="1" applyBorder="1" applyAlignment="1">
      <alignment horizontal="left" vertical="center"/>
    </xf>
    <xf numFmtId="0" fontId="37" fillId="2" borderId="23" xfId="0" applyFont="1" applyFill="1" applyBorder="1"/>
    <xf numFmtId="165" fontId="38" fillId="2" borderId="23" xfId="1" applyNumberFormat="1" applyFont="1" applyFill="1" applyBorder="1" applyAlignment="1">
      <alignment horizontal="center"/>
    </xf>
    <xf numFmtId="165" fontId="36" fillId="10" borderId="18" xfId="1" applyNumberFormat="1" applyFont="1" applyFill="1" applyBorder="1" applyAlignment="1">
      <alignment horizontal="center"/>
    </xf>
    <xf numFmtId="165" fontId="36" fillId="10" borderId="17" xfId="1" applyNumberFormat="1" applyFont="1" applyFill="1" applyBorder="1" applyAlignment="1">
      <alignment horizontal="center"/>
    </xf>
    <xf numFmtId="0" fontId="34" fillId="2" borderId="0" xfId="0" applyFont="1" applyFill="1"/>
    <xf numFmtId="43" fontId="34" fillId="2" borderId="0" xfId="1" applyFont="1" applyFill="1"/>
    <xf numFmtId="0" fontId="39" fillId="2" borderId="0" xfId="0" applyFont="1" applyFill="1"/>
    <xf numFmtId="0" fontId="35" fillId="2" borderId="0" xfId="0" applyFont="1" applyFill="1" applyAlignment="1">
      <alignment horizontal="center" vertical="center" wrapText="1"/>
    </xf>
    <xf numFmtId="0" fontId="40" fillId="2" borderId="0" xfId="0" applyFont="1" applyFill="1"/>
    <xf numFmtId="0" fontId="34" fillId="7" borderId="0" xfId="0" applyFont="1" applyFill="1"/>
    <xf numFmtId="167" fontId="34" fillId="2" borderId="0" xfId="0" applyNumberFormat="1" applyFont="1" applyFill="1"/>
    <xf numFmtId="2" fontId="0" fillId="2" borderId="0" xfId="0" applyNumberFormat="1" applyFill="1"/>
    <xf numFmtId="3" fontId="0" fillId="0" borderId="0" xfId="0" applyNumberFormat="1"/>
    <xf numFmtId="0" fontId="20" fillId="3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8" fillId="7" borderId="8" xfId="0" applyFont="1" applyFill="1" applyBorder="1" applyAlignment="1">
      <alignment horizontal="center" vertical="center" wrapText="1"/>
    </xf>
    <xf numFmtId="0" fontId="28" fillId="7" borderId="9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6" fillId="9" borderId="20" xfId="0" applyFont="1" applyFill="1" applyBorder="1" applyAlignment="1">
      <alignment horizontal="center" vertical="center" wrapText="1"/>
    </xf>
    <xf numFmtId="0" fontId="36" fillId="9" borderId="2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/>
    </xf>
    <xf numFmtId="0" fontId="33" fillId="2" borderId="20" xfId="0" applyFont="1" applyFill="1" applyBorder="1" applyAlignment="1">
      <alignment horizontal="center"/>
    </xf>
    <xf numFmtId="0" fontId="33" fillId="2" borderId="21" xfId="0" applyFont="1" applyFill="1" applyBorder="1" applyAlignment="1">
      <alignment horizontal="center"/>
    </xf>
    <xf numFmtId="0" fontId="32" fillId="2" borderId="0" xfId="0" applyFont="1" applyFill="1" applyAlignment="1">
      <alignment horizontal="center" vertical="center" wrapText="1"/>
    </xf>
    <xf numFmtId="0" fontId="32" fillId="2" borderId="1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43" fontId="24" fillId="0" borderId="0" xfId="1" applyFont="1" applyAlignment="1">
      <alignment horizontal="center"/>
    </xf>
    <xf numFmtId="0" fontId="24" fillId="0" borderId="0" xfId="0" applyFont="1" applyAlignment="1">
      <alignment horizontal="center"/>
    </xf>
    <xf numFmtId="0" fontId="38" fillId="2" borderId="25" xfId="0" applyFont="1" applyFill="1" applyBorder="1" applyAlignment="1">
      <alignment horizontal="left"/>
    </xf>
    <xf numFmtId="165" fontId="36" fillId="10" borderId="24" xfId="1" applyNumberFormat="1" applyFont="1" applyFill="1" applyBorder="1" applyAlignment="1">
      <alignment horizontal="left"/>
    </xf>
    <xf numFmtId="0" fontId="36" fillId="9" borderId="26" xfId="0" applyFont="1" applyFill="1" applyBorder="1" applyAlignment="1">
      <alignment horizontal="center" vertical="center" wrapText="1"/>
    </xf>
    <xf numFmtId="0" fontId="36" fillId="9" borderId="24" xfId="0" applyFont="1" applyFill="1" applyBorder="1" applyAlignment="1">
      <alignment horizontal="center" vertical="center" wrapText="1"/>
    </xf>
  </cellXfs>
  <cellStyles count="8">
    <cellStyle name="Millares" xfId="1" builtinId="3"/>
    <cellStyle name="Millares 2" xfId="4" xr:uid="{00000000-0005-0000-0000-000001000000}"/>
    <cellStyle name="Millares 2 2" xfId="6" xr:uid="{00000000-0005-0000-0000-000002000000}"/>
    <cellStyle name="Millares 3" xfId="3" xr:uid="{00000000-0005-0000-0000-000003000000}"/>
    <cellStyle name="Millares 3 2" xfId="5" xr:uid="{00000000-0005-0000-0000-000004000000}"/>
    <cellStyle name="Millares 4" xfId="7" xr:uid="{00000000-0005-0000-0000-000005000000}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314327</xdr:colOff>
      <xdr:row>1</xdr:row>
      <xdr:rowOff>9525</xdr:rowOff>
    </xdr:from>
    <xdr:to>
      <xdr:col>1</xdr:col>
      <xdr:colOff>800101</xdr:colOff>
      <xdr:row>2</xdr:row>
      <xdr:rowOff>371475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6327" y="200025"/>
          <a:ext cx="485774" cy="552450"/>
        </a:xfrm>
        <a:prstGeom prst="rect">
          <a:avLst/>
        </a:prstGeom>
        <a:solidFill>
          <a:srgbClr val="C3D69B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38100</xdr:rowOff>
    </xdr:from>
    <xdr:to>
      <xdr:col>0</xdr:col>
      <xdr:colOff>1285875</xdr:colOff>
      <xdr:row>4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28600"/>
          <a:ext cx="895350" cy="552451"/>
        </a:xfrm>
        <a:prstGeom prst="rect">
          <a:avLst/>
        </a:prstGeom>
        <a:solidFill>
          <a:srgbClr val="C3D69B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523875</xdr:colOff>
      <xdr:row>47</xdr:row>
      <xdr:rowOff>66675</xdr:rowOff>
    </xdr:from>
    <xdr:to>
      <xdr:col>2</xdr:col>
      <xdr:colOff>352425</xdr:colOff>
      <xdr:row>50</xdr:row>
      <xdr:rowOff>47626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95475" y="9172575"/>
          <a:ext cx="695325" cy="552451"/>
        </a:xfrm>
        <a:prstGeom prst="rect">
          <a:avLst/>
        </a:prstGeom>
        <a:solidFill>
          <a:srgbClr val="C3D69B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523875</xdr:colOff>
      <xdr:row>94</xdr:row>
      <xdr:rowOff>66675</xdr:rowOff>
    </xdr:from>
    <xdr:to>
      <xdr:col>2</xdr:col>
      <xdr:colOff>352425</xdr:colOff>
      <xdr:row>97</xdr:row>
      <xdr:rowOff>47626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95475" y="18468975"/>
          <a:ext cx="695325" cy="552451"/>
        </a:xfrm>
        <a:prstGeom prst="rect">
          <a:avLst/>
        </a:prstGeom>
        <a:solidFill>
          <a:srgbClr val="C3D69B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38100</xdr:rowOff>
    </xdr:from>
    <xdr:to>
      <xdr:col>0</xdr:col>
      <xdr:colOff>1285875</xdr:colOff>
      <xdr:row>4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0125" y="228600"/>
          <a:ext cx="895350" cy="552451"/>
        </a:xfrm>
        <a:prstGeom prst="rect">
          <a:avLst/>
        </a:prstGeom>
        <a:solidFill>
          <a:srgbClr val="C3D69B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523875</xdr:colOff>
      <xdr:row>47</xdr:row>
      <xdr:rowOff>66675</xdr:rowOff>
    </xdr:from>
    <xdr:to>
      <xdr:col>2</xdr:col>
      <xdr:colOff>352425</xdr:colOff>
      <xdr:row>50</xdr:row>
      <xdr:rowOff>47626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4050" y="8982075"/>
          <a:ext cx="838200" cy="552451"/>
        </a:xfrm>
        <a:prstGeom prst="rect">
          <a:avLst/>
        </a:prstGeom>
        <a:solidFill>
          <a:srgbClr val="C3D69B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523875</xdr:colOff>
      <xdr:row>94</xdr:row>
      <xdr:rowOff>66675</xdr:rowOff>
    </xdr:from>
    <xdr:to>
      <xdr:col>2</xdr:col>
      <xdr:colOff>352425</xdr:colOff>
      <xdr:row>97</xdr:row>
      <xdr:rowOff>47626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95475" y="8982075"/>
          <a:ext cx="695325" cy="552451"/>
        </a:xfrm>
        <a:prstGeom prst="rect">
          <a:avLst/>
        </a:prstGeom>
        <a:solidFill>
          <a:srgbClr val="C3D69B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200027</xdr:colOff>
      <xdr:row>0</xdr:row>
      <xdr:rowOff>133349</xdr:rowOff>
    </xdr:from>
    <xdr:to>
      <xdr:col>0</xdr:col>
      <xdr:colOff>609600</xdr:colOff>
      <xdr:row>2</xdr:row>
      <xdr:rowOff>333374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7" y="133349"/>
          <a:ext cx="409573" cy="581025"/>
        </a:xfrm>
        <a:prstGeom prst="rect">
          <a:avLst/>
        </a:prstGeom>
        <a:solidFill>
          <a:srgbClr val="C3D69B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200027</xdr:colOff>
      <xdr:row>0</xdr:row>
      <xdr:rowOff>133349</xdr:rowOff>
    </xdr:from>
    <xdr:to>
      <xdr:col>0</xdr:col>
      <xdr:colOff>609600</xdr:colOff>
      <xdr:row>2</xdr:row>
      <xdr:rowOff>333374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7" y="133349"/>
          <a:ext cx="409573" cy="581025"/>
        </a:xfrm>
        <a:prstGeom prst="rect">
          <a:avLst/>
        </a:prstGeom>
        <a:solidFill>
          <a:srgbClr val="C3D69B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514352</xdr:colOff>
      <xdr:row>1</xdr:row>
      <xdr:rowOff>133349</xdr:rowOff>
    </xdr:from>
    <xdr:to>
      <xdr:col>1</xdr:col>
      <xdr:colOff>504825</xdr:colOff>
      <xdr:row>3</xdr:row>
      <xdr:rowOff>428624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2" y="323849"/>
          <a:ext cx="838198" cy="676275"/>
        </a:xfrm>
        <a:prstGeom prst="rect">
          <a:avLst/>
        </a:prstGeom>
        <a:solidFill>
          <a:srgbClr val="C3D69B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657225</xdr:colOff>
      <xdr:row>0</xdr:row>
      <xdr:rowOff>0</xdr:rowOff>
    </xdr:from>
    <xdr:to>
      <xdr:col>7</xdr:col>
      <xdr:colOff>447675</xdr:colOff>
      <xdr:row>2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BDA8D5-5CE2-430C-AE3D-9C9DBEA8C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6825" y="0"/>
          <a:ext cx="1352550" cy="514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1</xdr:row>
      <xdr:rowOff>57150</xdr:rowOff>
    </xdr:from>
    <xdr:to>
      <xdr:col>4</xdr:col>
      <xdr:colOff>459479</xdr:colOff>
      <xdr:row>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8925" y="76200"/>
          <a:ext cx="1221479" cy="6000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0</xdr:row>
      <xdr:rowOff>152400</xdr:rowOff>
    </xdr:from>
    <xdr:to>
      <xdr:col>4</xdr:col>
      <xdr:colOff>276225</xdr:colOff>
      <xdr:row>1</xdr:row>
      <xdr:rowOff>276225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D6982C-19B1-46DD-881E-4FBDB4A73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152400"/>
          <a:ext cx="1314450" cy="5048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133351</xdr:rowOff>
    </xdr:from>
    <xdr:to>
      <xdr:col>0</xdr:col>
      <xdr:colOff>790575</xdr:colOff>
      <xdr:row>3</xdr:row>
      <xdr:rowOff>95454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323851"/>
          <a:ext cx="571500" cy="352628"/>
        </a:xfrm>
        <a:prstGeom prst="rect">
          <a:avLst/>
        </a:prstGeom>
        <a:solidFill>
          <a:srgbClr val="C3D69B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200027</xdr:colOff>
      <xdr:row>0</xdr:row>
      <xdr:rowOff>133349</xdr:rowOff>
    </xdr:from>
    <xdr:to>
      <xdr:col>0</xdr:col>
      <xdr:colOff>609600</xdr:colOff>
      <xdr:row>2</xdr:row>
      <xdr:rowOff>333374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7" y="133349"/>
          <a:ext cx="409573" cy="581025"/>
        </a:xfrm>
        <a:prstGeom prst="rect">
          <a:avLst/>
        </a:prstGeom>
        <a:solidFill>
          <a:srgbClr val="C3D69B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Marquesina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5"/>
  <sheetViews>
    <sheetView topLeftCell="A31" workbookViewId="0">
      <selection activeCell="E8" sqref="E8"/>
    </sheetView>
  </sheetViews>
  <sheetFormatPr baseColWidth="10" defaultRowHeight="15" x14ac:dyDescent="0.25"/>
  <cols>
    <col min="2" max="2" width="20.42578125" customWidth="1"/>
    <col min="3" max="3" width="22.28515625" customWidth="1"/>
    <col min="4" max="4" width="0.5703125" customWidth="1"/>
    <col min="5" max="5" width="19.28515625" customWidth="1"/>
    <col min="7" max="7" width="11.5703125" bestFit="1" customWidth="1"/>
    <col min="8" max="8" width="13.140625" bestFit="1" customWidth="1"/>
    <col min="27" max="27" width="12" customWidth="1"/>
  </cols>
  <sheetData>
    <row r="1" spans="2:11" s="2" customFormat="1" x14ac:dyDescent="0.25">
      <c r="B1" s="1"/>
      <c r="C1" s="1"/>
      <c r="D1" s="1"/>
      <c r="E1" s="1"/>
    </row>
    <row r="2" spans="2:11" x14ac:dyDescent="0.25">
      <c r="B2" s="1"/>
      <c r="C2" s="4"/>
      <c r="D2" s="4"/>
      <c r="E2" s="5"/>
    </row>
    <row r="3" spans="2:11" ht="31.5" customHeight="1" x14ac:dyDescent="0.25">
      <c r="B3" s="196" t="s">
        <v>41</v>
      </c>
      <c r="C3" s="196"/>
      <c r="D3" s="196"/>
      <c r="E3" s="196"/>
    </row>
    <row r="4" spans="2:11" ht="4.5" customHeight="1" x14ac:dyDescent="0.25">
      <c r="B4" s="6"/>
      <c r="C4" s="6"/>
      <c r="D4" s="6"/>
      <c r="E4" s="6"/>
    </row>
    <row r="5" spans="2:11" ht="21" customHeight="1" x14ac:dyDescent="0.25">
      <c r="B5" s="7"/>
      <c r="C5" s="32">
        <v>2014</v>
      </c>
      <c r="D5" s="24"/>
      <c r="E5" s="32" t="s">
        <v>26</v>
      </c>
    </row>
    <row r="6" spans="2:11" ht="60" customHeight="1" x14ac:dyDescent="0.25">
      <c r="B6" s="7" t="s">
        <v>0</v>
      </c>
      <c r="C6" s="9" t="s">
        <v>30</v>
      </c>
      <c r="D6" s="28"/>
      <c r="E6" s="9" t="s">
        <v>31</v>
      </c>
    </row>
    <row r="7" spans="2:11" s="2" customFormat="1" ht="12" customHeight="1" x14ac:dyDescent="0.25">
      <c r="B7" s="10"/>
      <c r="C7" s="11"/>
      <c r="D7" s="25"/>
      <c r="E7" s="11"/>
    </row>
    <row r="8" spans="2:11" x14ac:dyDescent="0.25">
      <c r="B8" s="13" t="s">
        <v>6</v>
      </c>
      <c r="C8" s="33">
        <v>17.598776999999998</v>
      </c>
      <c r="D8" s="26"/>
      <c r="E8" s="33">
        <v>15.378159999999999</v>
      </c>
    </row>
    <row r="9" spans="2:11" x14ac:dyDescent="0.25">
      <c r="B9" s="13" t="s">
        <v>7</v>
      </c>
      <c r="C9" s="33">
        <v>14.916618</v>
      </c>
      <c r="D9" s="26"/>
      <c r="E9" s="33">
        <v>13.573672999999999</v>
      </c>
      <c r="F9" s="15"/>
      <c r="G9" s="15"/>
      <c r="H9" s="15"/>
      <c r="I9" s="15"/>
      <c r="J9" s="15"/>
      <c r="K9" s="15"/>
    </row>
    <row r="10" spans="2:11" x14ac:dyDescent="0.25">
      <c r="B10" s="13" t="s">
        <v>8</v>
      </c>
      <c r="C10" s="33">
        <v>15.127139</v>
      </c>
      <c r="D10" s="26"/>
      <c r="E10" s="33">
        <v>14.885819</v>
      </c>
    </row>
    <row r="11" spans="2:11" x14ac:dyDescent="0.25">
      <c r="B11" s="13" t="s">
        <v>9</v>
      </c>
      <c r="C11" s="33">
        <v>15.963316000000001</v>
      </c>
      <c r="D11" s="26"/>
      <c r="E11" s="33">
        <v>15.574301999999999</v>
      </c>
    </row>
    <row r="12" spans="2:11" x14ac:dyDescent="0.25">
      <c r="B12" s="13" t="s">
        <v>10</v>
      </c>
      <c r="C12" s="33">
        <v>15.963316000000001</v>
      </c>
      <c r="D12" s="26"/>
      <c r="E12" s="33">
        <v>16.013921</v>
      </c>
    </row>
    <row r="13" spans="2:11" x14ac:dyDescent="0.25">
      <c r="B13" s="13" t="s">
        <v>11</v>
      </c>
      <c r="C13" s="33">
        <v>16.123726999999999</v>
      </c>
      <c r="D13" s="26"/>
      <c r="E13" s="33">
        <v>16.174997999999999</v>
      </c>
    </row>
    <row r="14" spans="2:11" x14ac:dyDescent="0.25">
      <c r="B14" s="13" t="s">
        <v>12</v>
      </c>
      <c r="C14" s="33">
        <v>15.120938000000001</v>
      </c>
      <c r="D14" s="26"/>
      <c r="E14" s="33">
        <v>15.501747</v>
      </c>
    </row>
    <row r="15" spans="2:11" x14ac:dyDescent="0.25">
      <c r="B15" s="13" t="s">
        <v>13</v>
      </c>
      <c r="C15" s="33">
        <v>15.422174</v>
      </c>
      <c r="D15" s="26"/>
      <c r="E15" s="33">
        <v>14.323138999999999</v>
      </c>
    </row>
    <row r="16" spans="2:11" x14ac:dyDescent="0.25">
      <c r="B16" s="13" t="s">
        <v>14</v>
      </c>
      <c r="C16" s="33">
        <v>14.549314000000001</v>
      </c>
      <c r="D16" s="26"/>
      <c r="E16" s="33">
        <v>15.155036000000001</v>
      </c>
    </row>
    <row r="17" spans="2:8" x14ac:dyDescent="0.25">
      <c r="B17" s="13" t="s">
        <v>22</v>
      </c>
      <c r="C17" s="33">
        <f>15644068/1000000</f>
        <v>15.644068000000001</v>
      </c>
      <c r="D17" s="26"/>
      <c r="E17" s="33">
        <f>16030953.486/1000000</f>
        <v>16.030953485999998</v>
      </c>
    </row>
    <row r="18" spans="2:8" x14ac:dyDescent="0.25">
      <c r="B18" s="13" t="s">
        <v>23</v>
      </c>
      <c r="C18" s="33">
        <f>14776304/1000000</f>
        <v>14.776304</v>
      </c>
      <c r="D18" s="26"/>
      <c r="E18" s="33">
        <f>16329441.851/1000000</f>
        <v>16.329441850999999</v>
      </c>
    </row>
    <row r="19" spans="2:8" x14ac:dyDescent="0.25">
      <c r="B19" s="13" t="s">
        <v>24</v>
      </c>
      <c r="C19" s="33">
        <f>16908945/1000000</f>
        <v>16.908944999999999</v>
      </c>
      <c r="D19" s="26"/>
      <c r="E19" s="33">
        <v>17</v>
      </c>
    </row>
    <row r="20" spans="2:8" ht="7.5" customHeight="1" x14ac:dyDescent="0.25">
      <c r="B20" s="13"/>
      <c r="C20" s="33"/>
      <c r="D20" s="27"/>
      <c r="E20" s="33"/>
    </row>
    <row r="21" spans="2:8" x14ac:dyDescent="0.25">
      <c r="B21" s="16" t="s">
        <v>15</v>
      </c>
      <c r="C21" s="18">
        <f t="shared" ref="C21:E21" si="0">SUM(C8:C19)</f>
        <v>188.11463599999999</v>
      </c>
      <c r="D21" s="29">
        <f t="shared" si="0"/>
        <v>0</v>
      </c>
      <c r="E21" s="18">
        <f t="shared" si="0"/>
        <v>185.94119033699997</v>
      </c>
      <c r="G21">
        <f>E21*3.44</f>
        <v>639.63769475927984</v>
      </c>
      <c r="H21">
        <f>G21/100</f>
        <v>6.3963769475927981</v>
      </c>
    </row>
    <row r="22" spans="2:8" ht="4.5" customHeight="1" x14ac:dyDescent="0.25">
      <c r="B22" s="8"/>
      <c r="C22" s="8"/>
      <c r="D22" s="8"/>
      <c r="E22" s="8"/>
    </row>
    <row r="23" spans="2:8" s="2" customFormat="1" ht="10.5" customHeight="1" x14ac:dyDescent="0.25">
      <c r="B23" s="31" t="s">
        <v>27</v>
      </c>
      <c r="C23" s="31"/>
      <c r="D23" s="31"/>
      <c r="E23" s="31"/>
      <c r="H23" s="39">
        <f>H21*1000000</f>
        <v>6396376.9475927977</v>
      </c>
    </row>
    <row r="24" spans="2:8" x14ac:dyDescent="0.25">
      <c r="B24" s="3" t="s">
        <v>32</v>
      </c>
      <c r="C24" s="4"/>
      <c r="D24" s="4"/>
      <c r="E24" s="1"/>
    </row>
    <row r="25" spans="2:8" x14ac:dyDescent="0.25">
      <c r="B25" s="20" t="s">
        <v>18</v>
      </c>
      <c r="C25" s="21"/>
      <c r="D25" s="21"/>
      <c r="E25" s="1"/>
    </row>
    <row r="26" spans="2:8" ht="10.5" customHeight="1" x14ac:dyDescent="0.25">
      <c r="B26" s="3" t="s">
        <v>28</v>
      </c>
      <c r="C26" s="4"/>
      <c r="D26" s="4"/>
      <c r="E26" s="1"/>
    </row>
    <row r="27" spans="2:8" x14ac:dyDescent="0.25">
      <c r="B27" s="3" t="s">
        <v>29</v>
      </c>
      <c r="E27" s="22"/>
      <c r="F27" s="23"/>
      <c r="G27" s="23"/>
    </row>
    <row r="31" spans="2:8" ht="33" customHeight="1" x14ac:dyDescent="0.25">
      <c r="B31" s="194" t="s">
        <v>40</v>
      </c>
      <c r="C31" s="194"/>
      <c r="D31" s="194"/>
      <c r="E31" s="194"/>
    </row>
    <row r="32" spans="2:8" ht="6" customHeight="1" x14ac:dyDescent="0.25"/>
    <row r="33" spans="2:5" x14ac:dyDescent="0.25">
      <c r="B33" s="8"/>
      <c r="C33" s="195" t="s">
        <v>35</v>
      </c>
      <c r="D33" s="195"/>
      <c r="E33" s="195"/>
    </row>
    <row r="34" spans="2:5" x14ac:dyDescent="0.25">
      <c r="B34" s="7" t="s">
        <v>0</v>
      </c>
      <c r="C34" s="34" t="s">
        <v>33</v>
      </c>
      <c r="D34" s="8"/>
      <c r="E34" s="9" t="s">
        <v>34</v>
      </c>
    </row>
    <row r="35" spans="2:5" ht="3" customHeight="1" x14ac:dyDescent="0.25">
      <c r="B35" s="10"/>
      <c r="C35" s="11"/>
      <c r="D35" s="25"/>
      <c r="E35" s="11"/>
    </row>
    <row r="36" spans="2:5" x14ac:dyDescent="0.25">
      <c r="B36" s="13" t="s">
        <v>6</v>
      </c>
      <c r="C36" s="36">
        <v>3395.3419589999994</v>
      </c>
      <c r="D36" s="26"/>
      <c r="E36" s="36">
        <v>3249919.6399790002</v>
      </c>
    </row>
    <row r="37" spans="2:5" x14ac:dyDescent="0.25">
      <c r="B37" s="13" t="s">
        <v>7</v>
      </c>
      <c r="C37" s="36">
        <v>2613.3274987999998</v>
      </c>
      <c r="D37" s="26">
        <v>982267.23948600015</v>
      </c>
      <c r="E37" s="36">
        <v>2754921.1886780001</v>
      </c>
    </row>
    <row r="38" spans="2:5" x14ac:dyDescent="0.25">
      <c r="B38" s="13" t="s">
        <v>8</v>
      </c>
      <c r="C38" s="36">
        <v>2667.2145117999999</v>
      </c>
      <c r="D38" s="26">
        <v>1253957.8937260006</v>
      </c>
      <c r="E38" s="36">
        <v>3070104.0285870004</v>
      </c>
    </row>
    <row r="39" spans="2:5" x14ac:dyDescent="0.25">
      <c r="B39" s="13" t="s">
        <v>9</v>
      </c>
      <c r="C39" s="36">
        <v>2104.585916</v>
      </c>
      <c r="D39" s="26">
        <v>751087.18201999995</v>
      </c>
      <c r="E39" s="36">
        <v>2028350.043974</v>
      </c>
    </row>
    <row r="40" spans="2:5" x14ac:dyDescent="0.25">
      <c r="B40" s="13" t="s">
        <v>10</v>
      </c>
      <c r="C40" s="36">
        <v>2742.0573278000002</v>
      </c>
      <c r="D40" s="26">
        <v>1503788.5076759998</v>
      </c>
      <c r="E40" s="36">
        <v>3273034.4602170005</v>
      </c>
    </row>
    <row r="41" spans="2:5" x14ac:dyDescent="0.25">
      <c r="B41" s="13" t="s">
        <v>11</v>
      </c>
      <c r="C41" s="36">
        <v>3271.1957008000004</v>
      </c>
      <c r="D41" s="26">
        <v>1012143.7535199999</v>
      </c>
      <c r="E41" s="36">
        <v>3230704.8570500007</v>
      </c>
    </row>
    <row r="42" spans="2:5" x14ac:dyDescent="0.25">
      <c r="B42" s="13" t="s">
        <v>12</v>
      </c>
      <c r="C42" s="36">
        <v>3655.4603620000003</v>
      </c>
      <c r="D42" s="26">
        <v>1098857.0642380002</v>
      </c>
      <c r="E42" s="36">
        <v>3767993.7798990002</v>
      </c>
    </row>
    <row r="43" spans="2:5" x14ac:dyDescent="0.25">
      <c r="B43" s="13" t="s">
        <v>13</v>
      </c>
      <c r="C43" s="36">
        <v>2138.3495539999999</v>
      </c>
      <c r="D43" s="26">
        <v>914433.96105200006</v>
      </c>
      <c r="E43" s="36">
        <v>2399677.8525099992</v>
      </c>
    </row>
    <row r="44" spans="2:5" x14ac:dyDescent="0.25">
      <c r="B44" s="13" t="s">
        <v>14</v>
      </c>
      <c r="C44" s="36">
        <v>2036.0966599999999</v>
      </c>
      <c r="D44" s="26">
        <v>1355009.0701830001</v>
      </c>
      <c r="E44" s="36">
        <v>2687589.5540680001</v>
      </c>
    </row>
    <row r="45" spans="2:5" x14ac:dyDescent="0.25">
      <c r="B45" s="13" t="s">
        <v>22</v>
      </c>
      <c r="C45" s="36">
        <v>3879.5461</v>
      </c>
      <c r="D45" s="26">
        <v>1742564.9617389997</v>
      </c>
      <c r="E45" s="36">
        <v>4288876.6445480017</v>
      </c>
    </row>
    <row r="46" spans="2:5" x14ac:dyDescent="0.25">
      <c r="B46" s="13" t="s">
        <v>23</v>
      </c>
      <c r="C46" s="36">
        <v>3438.3138931999997</v>
      </c>
      <c r="D46" s="26">
        <v>1980505.3494069993</v>
      </c>
      <c r="E46" s="36">
        <v>3874010.6905219993</v>
      </c>
    </row>
    <row r="47" spans="2:5" x14ac:dyDescent="0.25">
      <c r="B47" s="13" t="s">
        <v>45</v>
      </c>
      <c r="C47" s="36">
        <f>AVERAGE(C36:C46)</f>
        <v>2903.771771218182</v>
      </c>
      <c r="D47" s="26">
        <v>1228422.5441684546</v>
      </c>
      <c r="E47" s="36">
        <f>AVERAGE(E36:E46)</f>
        <v>3147743.8854574547</v>
      </c>
    </row>
    <row r="48" spans="2:5" x14ac:dyDescent="0.25">
      <c r="B48" s="16" t="s">
        <v>43</v>
      </c>
      <c r="C48" s="35">
        <f t="shared" ref="C48:E49" si="1">SUM(C36:C47)</f>
        <v>34845.261254618184</v>
      </c>
      <c r="D48" s="29">
        <f t="shared" si="1"/>
        <v>13823037.527215455</v>
      </c>
      <c r="E48" s="35">
        <f t="shared" si="1"/>
        <v>37772926.625489458</v>
      </c>
    </row>
    <row r="49" spans="2:5" x14ac:dyDescent="0.25">
      <c r="B49" s="16" t="s">
        <v>42</v>
      </c>
      <c r="C49" s="35">
        <v>30247.716606499998</v>
      </c>
      <c r="D49" s="29">
        <f t="shared" si="1"/>
        <v>27646075.054430909</v>
      </c>
      <c r="E49" s="35">
        <v>31092292.694282997</v>
      </c>
    </row>
    <row r="50" spans="2:5" ht="8.25" customHeight="1" x14ac:dyDescent="0.25">
      <c r="B50" s="8"/>
      <c r="C50" s="8"/>
      <c r="D50" s="8"/>
      <c r="E50" s="8"/>
    </row>
    <row r="51" spans="2:5" s="2" customFormat="1" ht="14.25" customHeight="1" x14ac:dyDescent="0.25">
      <c r="B51" s="31" t="s">
        <v>44</v>
      </c>
      <c r="C51" s="31"/>
      <c r="D51" s="31"/>
      <c r="E51" s="31"/>
    </row>
    <row r="52" spans="2:5" x14ac:dyDescent="0.25">
      <c r="B52" s="31" t="s">
        <v>27</v>
      </c>
      <c r="C52" s="2"/>
      <c r="D52" s="2"/>
      <c r="E52" s="2"/>
    </row>
    <row r="53" spans="2:5" x14ac:dyDescent="0.25">
      <c r="B53" s="37" t="s">
        <v>36</v>
      </c>
      <c r="E53" s="36"/>
    </row>
    <row r="54" spans="2:5" x14ac:dyDescent="0.25">
      <c r="B54" s="38" t="s">
        <v>37</v>
      </c>
    </row>
    <row r="55" spans="2:5" x14ac:dyDescent="0.25">
      <c r="B55" s="38" t="s">
        <v>38</v>
      </c>
    </row>
  </sheetData>
  <mergeCells count="3">
    <mergeCell ref="B31:E31"/>
    <mergeCell ref="C33:E33"/>
    <mergeCell ref="B3:E3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7"/>
  <sheetViews>
    <sheetView topLeftCell="B4" workbookViewId="0">
      <selection activeCell="F8" sqref="F8"/>
    </sheetView>
  </sheetViews>
  <sheetFormatPr baseColWidth="10" defaultRowHeight="15" x14ac:dyDescent="0.25"/>
  <cols>
    <col min="1" max="1" width="12.7109375" customWidth="1"/>
    <col min="2" max="2" width="10.85546875" customWidth="1"/>
    <col min="3" max="3" width="10.28515625" customWidth="1"/>
    <col min="4" max="4" width="11.28515625" customWidth="1"/>
    <col min="5" max="5" width="9.140625"/>
    <col min="6" max="6" width="10.42578125" customWidth="1"/>
    <col min="7" max="9" width="9.140625"/>
    <col min="10" max="10" width="11.7109375" customWidth="1"/>
    <col min="11" max="11" width="18.7109375" customWidth="1"/>
    <col min="12" max="12" width="13.85546875" customWidth="1"/>
  </cols>
  <sheetData>
    <row r="1" spans="1:16" s="2" customFormat="1" x14ac:dyDescent="0.25">
      <c r="A1" s="1"/>
      <c r="B1" s="1"/>
      <c r="C1" s="1"/>
      <c r="D1" s="1"/>
      <c r="E1" s="1"/>
      <c r="F1" s="1"/>
      <c r="G1" s="1"/>
    </row>
    <row r="2" spans="1:16" x14ac:dyDescent="0.25">
      <c r="A2" s="1"/>
      <c r="B2" s="3"/>
      <c r="C2" s="4"/>
      <c r="D2" s="4"/>
      <c r="E2" s="5"/>
      <c r="F2" s="5"/>
      <c r="G2" s="5"/>
      <c r="J2" s="2"/>
    </row>
    <row r="3" spans="1:16" ht="31.5" customHeight="1" x14ac:dyDescent="0.25">
      <c r="A3" s="196" t="s">
        <v>46</v>
      </c>
      <c r="B3" s="196"/>
      <c r="C3" s="196"/>
      <c r="D3" s="196"/>
      <c r="E3" s="196"/>
      <c r="F3" s="196"/>
      <c r="G3" s="196"/>
      <c r="H3" s="196"/>
      <c r="I3" s="196"/>
      <c r="J3" s="196"/>
    </row>
    <row r="4" spans="1:16" ht="4.5" customHeight="1" x14ac:dyDescent="0.25">
      <c r="A4" s="6"/>
      <c r="B4" s="6"/>
      <c r="C4" s="6"/>
      <c r="D4" s="6"/>
      <c r="E4" s="6"/>
      <c r="F4" s="6"/>
      <c r="G4" s="6"/>
      <c r="J4" s="2"/>
    </row>
    <row r="5" spans="1:16" ht="21" customHeight="1" x14ac:dyDescent="0.25">
      <c r="A5" s="55"/>
      <c r="B5" s="197">
        <v>2014</v>
      </c>
      <c r="C5" s="198"/>
      <c r="D5" s="199"/>
      <c r="E5" s="197">
        <v>2015</v>
      </c>
      <c r="F5" s="198"/>
      <c r="G5" s="198"/>
      <c r="H5" s="198"/>
      <c r="I5" s="198"/>
      <c r="J5" s="199"/>
    </row>
    <row r="6" spans="1:16" ht="60" customHeight="1" x14ac:dyDescent="0.25">
      <c r="A6" s="56" t="s">
        <v>0</v>
      </c>
      <c r="B6" s="52" t="s">
        <v>1</v>
      </c>
      <c r="C6" s="53" t="s">
        <v>20</v>
      </c>
      <c r="D6" s="54" t="s">
        <v>2</v>
      </c>
      <c r="E6" s="52" t="s">
        <v>1</v>
      </c>
      <c r="F6" s="53" t="s">
        <v>21</v>
      </c>
      <c r="G6" s="53" t="s">
        <v>3</v>
      </c>
      <c r="H6" s="53" t="s">
        <v>4</v>
      </c>
      <c r="I6" s="53" t="s">
        <v>5</v>
      </c>
      <c r="J6" s="54" t="s">
        <v>25</v>
      </c>
    </row>
    <row r="7" spans="1:16" s="2" customFormat="1" ht="12" customHeight="1" x14ac:dyDescent="0.25">
      <c r="A7" s="57"/>
      <c r="B7" s="43"/>
      <c r="C7" s="11"/>
      <c r="D7" s="44"/>
      <c r="E7" s="49"/>
      <c r="F7" s="11"/>
      <c r="G7" s="11"/>
      <c r="H7" s="12"/>
      <c r="I7" s="12"/>
      <c r="J7" s="50"/>
    </row>
    <row r="8" spans="1:16" x14ac:dyDescent="0.25">
      <c r="A8" s="58" t="s">
        <v>6</v>
      </c>
      <c r="B8" s="45">
        <v>83450</v>
      </c>
      <c r="C8" s="33">
        <v>17.598776999999998</v>
      </c>
      <c r="D8" s="46">
        <v>140</v>
      </c>
      <c r="E8" s="51">
        <v>81230</v>
      </c>
      <c r="F8" s="33">
        <v>15.378159999999999</v>
      </c>
      <c r="G8" s="33">
        <v>155</v>
      </c>
      <c r="H8" s="42">
        <v>111708.95591</v>
      </c>
      <c r="I8" s="36">
        <v>236.11312849237089</v>
      </c>
      <c r="J8" s="46">
        <v>53.092308000000003</v>
      </c>
      <c r="K8" s="36">
        <v>17466552</v>
      </c>
      <c r="L8" s="33">
        <f>K8/1000000</f>
        <v>17.466552</v>
      </c>
    </row>
    <row r="9" spans="1:16" x14ac:dyDescent="0.25">
      <c r="A9" s="58" t="s">
        <v>7</v>
      </c>
      <c r="B9" s="45">
        <v>81680</v>
      </c>
      <c r="C9" s="33">
        <v>14.916618</v>
      </c>
      <c r="D9" s="46">
        <v>138</v>
      </c>
      <c r="E9" s="51">
        <v>81960</v>
      </c>
      <c r="F9" s="33">
        <v>13.573672999999999</v>
      </c>
      <c r="G9" s="33">
        <v>157</v>
      </c>
      <c r="H9" s="42">
        <v>84034.744386000006</v>
      </c>
      <c r="I9" s="36">
        <v>1464.4076116295594</v>
      </c>
      <c r="J9" s="46">
        <v>48.736761000000001</v>
      </c>
      <c r="K9" s="36">
        <v>15082482</v>
      </c>
      <c r="L9" s="33">
        <f t="shared" ref="L9:L19" si="0">K9/1000000</f>
        <v>15.082482000000001</v>
      </c>
      <c r="O9" s="15"/>
      <c r="P9" s="15"/>
    </row>
    <row r="10" spans="1:16" x14ac:dyDescent="0.25">
      <c r="A10" s="58" t="s">
        <v>8</v>
      </c>
      <c r="B10" s="45">
        <v>81385</v>
      </c>
      <c r="C10" s="33">
        <v>15.127139</v>
      </c>
      <c r="D10" s="46">
        <v>139</v>
      </c>
      <c r="E10" s="51">
        <v>80420</v>
      </c>
      <c r="F10" s="33">
        <v>14.885819</v>
      </c>
      <c r="G10" s="33">
        <v>148</v>
      </c>
      <c r="H10" s="42">
        <v>76546.203197999988</v>
      </c>
      <c r="I10" s="36">
        <v>1708.4755469011523</v>
      </c>
      <c r="J10" s="46">
        <v>54.336863000000001</v>
      </c>
      <c r="K10" s="36">
        <v>15968052</v>
      </c>
      <c r="L10" s="33">
        <f t="shared" si="0"/>
        <v>15.968052</v>
      </c>
    </row>
    <row r="11" spans="1:16" x14ac:dyDescent="0.25">
      <c r="A11" s="58" t="s">
        <v>9</v>
      </c>
      <c r="B11" s="45">
        <v>80549</v>
      </c>
      <c r="C11" s="33">
        <v>15.963316000000001</v>
      </c>
      <c r="D11" s="46">
        <v>142</v>
      </c>
      <c r="E11" s="51">
        <v>79560</v>
      </c>
      <c r="F11" s="33">
        <v>15.397629999999999</v>
      </c>
      <c r="G11" s="33">
        <v>145</v>
      </c>
      <c r="H11" s="42">
        <v>211311.26273599998</v>
      </c>
      <c r="I11" s="36">
        <v>9417.9488534097072</v>
      </c>
      <c r="J11" s="46">
        <v>53.632531</v>
      </c>
      <c r="K11" s="36">
        <v>15574302</v>
      </c>
      <c r="L11" s="33">
        <f t="shared" si="0"/>
        <v>15.574301999999999</v>
      </c>
    </row>
    <row r="12" spans="1:16" x14ac:dyDescent="0.25">
      <c r="A12" s="58" t="s">
        <v>10</v>
      </c>
      <c r="B12" s="45">
        <v>80342</v>
      </c>
      <c r="C12" s="33">
        <v>15.963316000000001</v>
      </c>
      <c r="D12" s="46">
        <v>140</v>
      </c>
      <c r="E12" s="51">
        <v>81725</v>
      </c>
      <c r="F12" s="33">
        <v>15.171084</v>
      </c>
      <c r="G12" s="33">
        <v>147</v>
      </c>
      <c r="H12" s="42">
        <v>87069.266056000008</v>
      </c>
      <c r="I12" s="36">
        <v>5125.4266407034565</v>
      </c>
      <c r="J12" s="46">
        <v>56.447158999999999</v>
      </c>
      <c r="K12" s="36">
        <v>16013921</v>
      </c>
      <c r="L12" s="33">
        <f t="shared" si="0"/>
        <v>16.013921</v>
      </c>
    </row>
    <row r="13" spans="1:16" x14ac:dyDescent="0.25">
      <c r="A13" s="58" t="s">
        <v>11</v>
      </c>
      <c r="B13" s="45">
        <v>80295</v>
      </c>
      <c r="C13" s="33">
        <v>16.123726999999999</v>
      </c>
      <c r="D13" s="46">
        <v>142</v>
      </c>
      <c r="E13" s="51">
        <v>82055</v>
      </c>
      <c r="F13" s="33">
        <v>15.486700000000001</v>
      </c>
      <c r="G13" s="33">
        <v>155</v>
      </c>
      <c r="H13" s="42">
        <v>117953.26495</v>
      </c>
      <c r="I13" s="36">
        <v>3644.8382289207061</v>
      </c>
      <c r="J13" s="46">
        <v>54.385018000000002</v>
      </c>
      <c r="K13" s="36">
        <v>16174998</v>
      </c>
      <c r="L13" s="33">
        <f t="shared" si="0"/>
        <v>16.174997999999999</v>
      </c>
    </row>
    <row r="14" spans="1:16" x14ac:dyDescent="0.25">
      <c r="A14" s="58" t="s">
        <v>12</v>
      </c>
      <c r="B14" s="45">
        <v>79624</v>
      </c>
      <c r="C14" s="33">
        <v>15.120938000000001</v>
      </c>
      <c r="D14" s="46">
        <v>135</v>
      </c>
      <c r="E14" s="51">
        <v>82340</v>
      </c>
      <c r="F14" s="33">
        <v>15.501747</v>
      </c>
      <c r="G14" s="33">
        <v>145</v>
      </c>
      <c r="H14" s="42">
        <v>205761.77747799997</v>
      </c>
      <c r="I14" s="36">
        <v>1320.6787164140651</v>
      </c>
      <c r="J14" s="46">
        <v>56.618668999999997</v>
      </c>
      <c r="K14" s="36">
        <v>15673988</v>
      </c>
      <c r="L14" s="33">
        <f t="shared" si="0"/>
        <v>15.673988</v>
      </c>
    </row>
    <row r="15" spans="1:16" x14ac:dyDescent="0.25">
      <c r="A15" s="58" t="s">
        <v>13</v>
      </c>
      <c r="B15" s="45">
        <v>78049</v>
      </c>
      <c r="C15" s="33">
        <v>15.422174</v>
      </c>
      <c r="D15" s="46">
        <v>143</v>
      </c>
      <c r="E15" s="51">
        <v>81895</v>
      </c>
      <c r="F15" s="33">
        <v>15.631425999999999</v>
      </c>
      <c r="G15" s="33">
        <v>138</v>
      </c>
      <c r="H15" s="42">
        <v>93068.952680000002</v>
      </c>
      <c r="I15" s="36">
        <v>1546.2155677113335</v>
      </c>
      <c r="J15" s="46">
        <v>59.346550999999998</v>
      </c>
      <c r="K15" s="36">
        <v>15631426</v>
      </c>
      <c r="L15" s="33">
        <f t="shared" si="0"/>
        <v>15.631425999999999</v>
      </c>
    </row>
    <row r="16" spans="1:16" x14ac:dyDescent="0.25">
      <c r="A16" s="58" t="s">
        <v>14</v>
      </c>
      <c r="B16" s="45">
        <v>78000</v>
      </c>
      <c r="C16" s="33">
        <v>14.549314000000001</v>
      </c>
      <c r="D16" s="46">
        <v>145</v>
      </c>
      <c r="E16" s="51">
        <v>81770</v>
      </c>
      <c r="F16" s="33">
        <v>15.155036000000001</v>
      </c>
      <c r="G16" s="33">
        <v>135</v>
      </c>
      <c r="H16" s="42">
        <v>138349.93755199999</v>
      </c>
      <c r="I16" s="36">
        <v>1019.8423873089312</v>
      </c>
      <c r="J16" s="46">
        <v>56.210023999999997</v>
      </c>
      <c r="K16" s="36">
        <v>15155036</v>
      </c>
      <c r="L16" s="33">
        <f t="shared" si="0"/>
        <v>15.155036000000001</v>
      </c>
    </row>
    <row r="17" spans="1:13" x14ac:dyDescent="0.25">
      <c r="A17" s="58" t="s">
        <v>22</v>
      </c>
      <c r="B17" s="45">
        <v>80250</v>
      </c>
      <c r="C17" s="33">
        <v>15.644068000000001</v>
      </c>
      <c r="D17" s="46">
        <f>147000000/1000000</f>
        <v>147</v>
      </c>
      <c r="E17" s="51">
        <f>8145000/100</f>
        <v>81450</v>
      </c>
      <c r="F17" s="33">
        <v>15.83304</v>
      </c>
      <c r="G17" s="33">
        <f>135000/1000</f>
        <v>135</v>
      </c>
      <c r="H17" s="42">
        <v>135408.119312</v>
      </c>
      <c r="I17" s="36">
        <v>1574.2381825017758</v>
      </c>
      <c r="J17" s="46">
        <v>54.660898000000003</v>
      </c>
      <c r="K17" s="36">
        <v>16030953</v>
      </c>
      <c r="L17" s="33">
        <f t="shared" si="0"/>
        <v>16.030953</v>
      </c>
    </row>
    <row r="18" spans="1:13" x14ac:dyDescent="0.25">
      <c r="A18" s="58" t="s">
        <v>23</v>
      </c>
      <c r="B18" s="45">
        <v>80560</v>
      </c>
      <c r="C18" s="33">
        <v>14.776304</v>
      </c>
      <c r="D18" s="46">
        <f>149000000/1000000</f>
        <v>149</v>
      </c>
      <c r="E18" s="51">
        <f>8213000/100</f>
        <v>82130</v>
      </c>
      <c r="F18" s="33">
        <v>14.714891</v>
      </c>
      <c r="G18" s="33">
        <f>140000/1000</f>
        <v>140</v>
      </c>
      <c r="H18" s="42">
        <v>100668.78207599999</v>
      </c>
      <c r="I18" s="36">
        <v>4218.3074812773684</v>
      </c>
      <c r="J18" s="46">
        <v>53.649298000000002</v>
      </c>
      <c r="K18" s="36">
        <v>16329442</v>
      </c>
      <c r="L18" s="33">
        <f t="shared" si="0"/>
        <v>16.329442</v>
      </c>
    </row>
    <row r="19" spans="1:13" x14ac:dyDescent="0.25">
      <c r="A19" s="58" t="s">
        <v>24</v>
      </c>
      <c r="B19" s="45">
        <v>82370</v>
      </c>
      <c r="C19" s="33">
        <v>16.908944999999999</v>
      </c>
      <c r="D19" s="46">
        <f>153000000/1000000</f>
        <v>153</v>
      </c>
      <c r="E19" s="51">
        <v>84300</v>
      </c>
      <c r="F19" s="33">
        <v>16.836655</v>
      </c>
      <c r="G19" s="33">
        <v>145</v>
      </c>
      <c r="H19" s="42">
        <v>113490.096342</v>
      </c>
      <c r="I19" s="36">
        <v>2896.272831889572</v>
      </c>
      <c r="J19" s="46">
        <v>54.642468999999998</v>
      </c>
      <c r="K19" s="36">
        <v>18649656</v>
      </c>
      <c r="L19" s="33">
        <f t="shared" si="0"/>
        <v>18.649656</v>
      </c>
    </row>
    <row r="20" spans="1:13" ht="7.5" customHeight="1" x14ac:dyDescent="0.25">
      <c r="A20" s="58"/>
      <c r="B20" s="45"/>
      <c r="C20" s="33"/>
      <c r="D20" s="46"/>
      <c r="E20" s="51"/>
      <c r="F20" s="33"/>
      <c r="G20" s="33"/>
      <c r="H20" s="14"/>
      <c r="I20" s="14"/>
      <c r="J20" s="50"/>
    </row>
    <row r="21" spans="1:13" x14ac:dyDescent="0.25">
      <c r="A21" s="59" t="s">
        <v>15</v>
      </c>
      <c r="B21" s="47">
        <f>SUM(B8:B19)</f>
        <v>966554</v>
      </c>
      <c r="C21" s="18">
        <f t="shared" ref="C21:J21" si="1">SUM(C8:C19)</f>
        <v>188.11463599999999</v>
      </c>
      <c r="D21" s="48">
        <f t="shared" si="1"/>
        <v>1713</v>
      </c>
      <c r="E21" s="47">
        <f t="shared" si="1"/>
        <v>980835</v>
      </c>
      <c r="F21" s="18">
        <f t="shared" si="1"/>
        <v>183.56586100000001</v>
      </c>
      <c r="G21" s="17">
        <f t="shared" si="1"/>
        <v>1745</v>
      </c>
      <c r="H21" s="17">
        <f t="shared" si="1"/>
        <v>1475371.362676</v>
      </c>
      <c r="I21" s="17">
        <f t="shared" si="1"/>
        <v>34172.765177160007</v>
      </c>
      <c r="J21" s="48">
        <f t="shared" si="1"/>
        <v>655.75854900000002</v>
      </c>
      <c r="K21" s="41">
        <f>SUM(K8:K20)</f>
        <v>193750808</v>
      </c>
      <c r="L21" s="41"/>
    </row>
    <row r="22" spans="1:13" ht="4.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3" ht="13.5" customHeight="1" x14ac:dyDescent="0.25">
      <c r="A23" s="3" t="s">
        <v>16</v>
      </c>
      <c r="B23" s="3"/>
      <c r="C23" s="4"/>
      <c r="D23" s="4"/>
      <c r="E23" s="19"/>
      <c r="F23" s="1"/>
      <c r="G23" s="1"/>
      <c r="J23" s="2"/>
      <c r="M23" s="40"/>
    </row>
    <row r="24" spans="1:13" x14ac:dyDescent="0.25">
      <c r="A24" s="3" t="s">
        <v>17</v>
      </c>
      <c r="B24" s="3"/>
      <c r="C24" s="4"/>
      <c r="D24" s="4"/>
      <c r="E24" s="1"/>
      <c r="F24" s="1"/>
      <c r="G24" s="1"/>
      <c r="J24" s="2"/>
      <c r="K24">
        <v>193750808</v>
      </c>
      <c r="L24" s="40"/>
    </row>
    <row r="25" spans="1:13" x14ac:dyDescent="0.25">
      <c r="A25" s="20" t="s">
        <v>18</v>
      </c>
      <c r="B25" s="20"/>
      <c r="C25" s="21"/>
      <c r="D25" s="21"/>
      <c r="E25" s="1"/>
      <c r="F25" s="1"/>
      <c r="G25" s="1"/>
      <c r="J25" s="2"/>
    </row>
    <row r="26" spans="1:13" ht="10.5" customHeight="1" x14ac:dyDescent="0.25">
      <c r="A26" s="3" t="s">
        <v>19</v>
      </c>
      <c r="B26" s="3"/>
      <c r="C26" s="4"/>
      <c r="D26" s="4"/>
      <c r="E26" s="1"/>
      <c r="F26" s="1"/>
      <c r="G26" s="1"/>
      <c r="J26" s="2"/>
    </row>
    <row r="27" spans="1:13" x14ac:dyDescent="0.25">
      <c r="E27" s="22"/>
      <c r="F27" s="22"/>
      <c r="G27" s="23"/>
      <c r="H27" s="23"/>
      <c r="I27" s="23"/>
      <c r="J27" s="23"/>
      <c r="K27" s="60">
        <f>K21-K24</f>
        <v>0</v>
      </c>
      <c r="L27" s="23"/>
    </row>
    <row r="28" spans="1:13" x14ac:dyDescent="0.25">
      <c r="G28" s="14"/>
      <c r="H28" s="14"/>
      <c r="I28" s="14"/>
    </row>
    <row r="29" spans="1:13" x14ac:dyDescent="0.25">
      <c r="G29" s="14"/>
      <c r="H29" s="14"/>
      <c r="I29" s="14"/>
    </row>
    <row r="30" spans="1:13" x14ac:dyDescent="0.25">
      <c r="G30" s="14"/>
      <c r="H30" s="14"/>
      <c r="I30" s="14"/>
    </row>
    <row r="31" spans="1:13" x14ac:dyDescent="0.25">
      <c r="G31" s="14"/>
      <c r="H31" s="14"/>
      <c r="I31" s="14"/>
    </row>
    <row r="32" spans="1:13" x14ac:dyDescent="0.25">
      <c r="G32" s="14"/>
      <c r="H32" s="14"/>
      <c r="I32" s="14"/>
    </row>
    <row r="33" spans="4:9" x14ac:dyDescent="0.25">
      <c r="G33" s="14"/>
      <c r="H33" s="14"/>
      <c r="I33" s="14"/>
    </row>
    <row r="35" spans="4:9" ht="15.75" x14ac:dyDescent="0.25">
      <c r="D35" s="30"/>
    </row>
    <row r="36" spans="4:9" ht="15.75" x14ac:dyDescent="0.25">
      <c r="D36" s="30"/>
    </row>
    <row r="37" spans="4:9" ht="15.75" x14ac:dyDescent="0.25">
      <c r="D37" s="30"/>
    </row>
  </sheetData>
  <mergeCells count="3">
    <mergeCell ref="B5:D5"/>
    <mergeCell ref="E5:J5"/>
    <mergeCell ref="A3:J3"/>
  </mergeCells>
  <pageMargins left="0.57999999999999996" right="0.70866141732283472" top="0.74803149606299213" bottom="0.74803149606299213" header="0.37" footer="0.31496062992125984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123"/>
  <sheetViews>
    <sheetView workbookViewId="0">
      <selection activeCell="C58" sqref="C58"/>
    </sheetView>
  </sheetViews>
  <sheetFormatPr baseColWidth="10" defaultColWidth="9.140625" defaultRowHeight="15" x14ac:dyDescent="0.25"/>
  <cols>
    <col min="1" max="1" width="20.5703125" customWidth="1"/>
    <col min="2" max="2" width="11.140625" customWidth="1"/>
    <col min="3" max="3" width="11.42578125" customWidth="1"/>
    <col min="4" max="4" width="14.28515625" customWidth="1"/>
    <col min="5" max="5" width="17.28515625" customWidth="1"/>
    <col min="6" max="6" width="15.140625" style="96" customWidth="1"/>
    <col min="7" max="7" width="15.5703125" style="96" customWidth="1"/>
    <col min="8" max="8" width="16.42578125" style="96" customWidth="1"/>
    <col min="9" max="9" width="18.7109375" style="98" customWidth="1"/>
    <col min="10" max="10" width="16.140625" style="98" customWidth="1"/>
    <col min="11" max="11" width="16.85546875" style="98" customWidth="1"/>
    <col min="12" max="12" width="14.85546875" style="98" customWidth="1"/>
    <col min="13" max="13" width="14.140625" bestFit="1" customWidth="1"/>
    <col min="14" max="14" width="15.140625" bestFit="1" customWidth="1"/>
    <col min="15" max="15" width="14.140625" bestFit="1" customWidth="1"/>
    <col min="16" max="16" width="11.5703125" bestFit="1" customWidth="1"/>
    <col min="17" max="17" width="15.140625" bestFit="1" customWidth="1"/>
  </cols>
  <sheetData>
    <row r="2" spans="1:12" x14ac:dyDescent="0.25">
      <c r="A2" s="2"/>
      <c r="B2" s="2"/>
      <c r="C2" s="2"/>
      <c r="D2" s="2"/>
      <c r="E2" s="2"/>
    </row>
    <row r="3" spans="1:12" ht="15.75" x14ac:dyDescent="0.25">
      <c r="A3" s="196" t="s">
        <v>49</v>
      </c>
      <c r="B3" s="196"/>
      <c r="C3" s="196"/>
      <c r="D3" s="196"/>
      <c r="E3" s="196"/>
    </row>
    <row r="4" spans="1:12" ht="15.75" x14ac:dyDescent="0.25">
      <c r="A4" s="213" t="s">
        <v>84</v>
      </c>
      <c r="B4" s="213"/>
      <c r="C4" s="213"/>
      <c r="D4" s="213"/>
      <c r="E4" s="213"/>
    </row>
    <row r="5" spans="1:12" ht="6" customHeight="1" x14ac:dyDescent="0.25">
      <c r="A5" s="70"/>
      <c r="B5" s="70"/>
      <c r="C5" s="70"/>
      <c r="D5" s="70"/>
      <c r="E5" s="70"/>
    </row>
    <row r="6" spans="1:12" ht="52.5" customHeight="1" x14ac:dyDescent="0.25">
      <c r="A6" s="80" t="s">
        <v>50</v>
      </c>
      <c r="B6" s="7" t="s">
        <v>51</v>
      </c>
      <c r="C6" s="7" t="s">
        <v>82</v>
      </c>
      <c r="D6" s="7" t="s">
        <v>83</v>
      </c>
      <c r="E6" s="9" t="s">
        <v>85</v>
      </c>
      <c r="F6" s="214"/>
      <c r="G6" s="214"/>
      <c r="H6" s="214"/>
      <c r="I6" s="97"/>
      <c r="J6" s="97"/>
      <c r="K6" s="97"/>
    </row>
    <row r="7" spans="1:12" ht="3.75" customHeight="1" x14ac:dyDescent="0.25">
      <c r="A7" s="71"/>
      <c r="B7" s="71"/>
      <c r="C7" s="72"/>
      <c r="D7" s="11"/>
      <c r="E7" s="1"/>
      <c r="I7" s="96"/>
      <c r="J7" s="96"/>
      <c r="K7" s="96"/>
    </row>
    <row r="8" spans="1:12" x14ac:dyDescent="0.25">
      <c r="A8" s="73" t="s">
        <v>66</v>
      </c>
      <c r="B8" s="73" t="s">
        <v>59</v>
      </c>
      <c r="C8" s="74">
        <v>8205500</v>
      </c>
      <c r="D8" s="74">
        <v>8145000</v>
      </c>
      <c r="E8" s="75">
        <f>((D8/C8)-1)</f>
        <v>-7.3731034062518575E-3</v>
      </c>
      <c r="F8" s="97"/>
      <c r="G8" s="215"/>
      <c r="H8" s="215"/>
      <c r="I8" s="41"/>
      <c r="J8" s="41"/>
      <c r="K8" s="41"/>
    </row>
    <row r="9" spans="1:12" x14ac:dyDescent="0.25">
      <c r="A9" s="73" t="s">
        <v>52</v>
      </c>
      <c r="B9" s="73" t="s">
        <v>60</v>
      </c>
      <c r="C9" s="76">
        <v>16174998.102600001</v>
      </c>
      <c r="D9" s="74">
        <v>15966763</v>
      </c>
      <c r="E9" s="75">
        <f>((D9/C9)-1)</f>
        <v>-1.2873887296872666E-2</v>
      </c>
      <c r="F9" s="37"/>
      <c r="I9" s="96"/>
      <c r="J9" s="96"/>
      <c r="K9" s="96"/>
    </row>
    <row r="10" spans="1:12" x14ac:dyDescent="0.25">
      <c r="A10" s="73" t="s">
        <v>53</v>
      </c>
      <c r="B10" s="73" t="s">
        <v>60</v>
      </c>
      <c r="C10" s="76">
        <v>155000000</v>
      </c>
      <c r="D10" s="74">
        <v>141000000</v>
      </c>
      <c r="E10" s="75">
        <f>((D10/C10)-1)</f>
        <v>-9.0322580645161299E-2</v>
      </c>
      <c r="F10" s="37"/>
      <c r="G10" s="97"/>
      <c r="H10" s="97"/>
      <c r="I10" s="96"/>
      <c r="J10" s="96"/>
      <c r="K10" s="96"/>
    </row>
    <row r="11" spans="1:12" x14ac:dyDescent="0.25">
      <c r="A11" s="73" t="s">
        <v>63</v>
      </c>
      <c r="B11" s="73" t="s">
        <v>59</v>
      </c>
      <c r="C11" s="76">
        <v>5350324.8465</v>
      </c>
      <c r="D11" s="74">
        <v>5786752.125</v>
      </c>
      <c r="E11" s="75">
        <f t="shared" ref="E11:E13" si="0">((D11/C11)-1)</f>
        <v>8.1570239381912657E-2</v>
      </c>
      <c r="F11" s="37"/>
      <c r="I11" s="97"/>
      <c r="J11" s="96"/>
      <c r="K11" s="97"/>
      <c r="L11" s="99">
        <f>+D9/100</f>
        <v>159667.63</v>
      </c>
    </row>
    <row r="12" spans="1:12" x14ac:dyDescent="0.25">
      <c r="A12" s="73" t="s">
        <v>64</v>
      </c>
      <c r="B12" s="73" t="s">
        <v>59</v>
      </c>
      <c r="C12" s="76">
        <v>165328.7775070628</v>
      </c>
      <c r="D12" s="74">
        <v>91219</v>
      </c>
      <c r="E12" s="75">
        <f t="shared" si="0"/>
        <v>-0.44825697391911612</v>
      </c>
      <c r="F12" s="37"/>
      <c r="I12" s="97"/>
      <c r="J12" s="96"/>
      <c r="K12" s="96"/>
      <c r="L12" s="99"/>
    </row>
    <row r="13" spans="1:12" x14ac:dyDescent="0.25">
      <c r="A13" s="73" t="s">
        <v>65</v>
      </c>
      <c r="B13" s="73" t="s">
        <v>61</v>
      </c>
      <c r="C13" s="76">
        <v>54385018</v>
      </c>
      <c r="D13" s="74">
        <v>66243869</v>
      </c>
      <c r="E13" s="75">
        <f t="shared" si="0"/>
        <v>0.21805363749259032</v>
      </c>
      <c r="F13" s="37"/>
      <c r="G13" s="97"/>
      <c r="H13" s="97"/>
      <c r="I13" s="97"/>
      <c r="J13" s="96"/>
      <c r="K13" s="96"/>
      <c r="L13" s="99"/>
    </row>
    <row r="14" spans="1:12" ht="8.25" customHeight="1" x14ac:dyDescent="0.25">
      <c r="A14" s="8"/>
      <c r="B14" s="8"/>
      <c r="C14" s="8"/>
      <c r="D14" s="8"/>
      <c r="E14" s="8"/>
      <c r="F14" s="104"/>
      <c r="I14" s="96"/>
      <c r="J14" s="96"/>
      <c r="K14" s="96"/>
    </row>
    <row r="15" spans="1:12" x14ac:dyDescent="0.25">
      <c r="A15" s="3" t="s">
        <v>54</v>
      </c>
      <c r="B15" s="3"/>
      <c r="C15" s="4"/>
      <c r="D15" s="4"/>
      <c r="E15" s="1"/>
      <c r="F15" s="104"/>
      <c r="I15" s="96"/>
      <c r="J15" s="96"/>
      <c r="K15" s="96"/>
    </row>
    <row r="16" spans="1:12" x14ac:dyDescent="0.25">
      <c r="A16" s="38" t="s">
        <v>55</v>
      </c>
      <c r="B16" s="3"/>
      <c r="C16" s="4"/>
      <c r="D16" s="4"/>
      <c r="E16" s="1"/>
      <c r="F16" s="104"/>
      <c r="I16" s="96"/>
      <c r="J16" s="96"/>
      <c r="K16" s="96"/>
    </row>
    <row r="17" spans="1:11" x14ac:dyDescent="0.25">
      <c r="A17" s="3" t="s">
        <v>16</v>
      </c>
      <c r="B17" s="3"/>
      <c r="C17" s="4"/>
      <c r="D17" s="4"/>
      <c r="E17" s="1"/>
      <c r="F17" s="104"/>
      <c r="G17" s="104"/>
      <c r="H17" s="104"/>
      <c r="I17" s="96"/>
      <c r="J17" s="96"/>
      <c r="K17" s="96"/>
    </row>
    <row r="18" spans="1:11" x14ac:dyDescent="0.25">
      <c r="A18" s="3" t="s">
        <v>47</v>
      </c>
      <c r="B18" s="3"/>
      <c r="C18" s="4"/>
      <c r="D18" s="4"/>
      <c r="E18" s="1"/>
      <c r="F18" s="104"/>
      <c r="G18" s="97"/>
      <c r="H18" s="97"/>
      <c r="I18" s="96"/>
      <c r="J18" s="96"/>
      <c r="K18" s="96"/>
    </row>
    <row r="19" spans="1:11" x14ac:dyDescent="0.25">
      <c r="A19" s="20" t="s">
        <v>56</v>
      </c>
      <c r="B19" s="20"/>
      <c r="C19" s="21"/>
      <c r="D19" s="21"/>
      <c r="E19" s="1"/>
      <c r="F19" s="104"/>
      <c r="G19" s="97"/>
      <c r="H19" s="97"/>
      <c r="I19" s="96"/>
      <c r="J19" s="96"/>
      <c r="K19" s="96"/>
    </row>
    <row r="20" spans="1:11" x14ac:dyDescent="0.25">
      <c r="A20" s="3" t="s">
        <v>57</v>
      </c>
      <c r="B20" s="3"/>
      <c r="C20" s="21"/>
      <c r="D20" s="21"/>
      <c r="E20" s="1"/>
      <c r="G20" s="97"/>
      <c r="I20" s="96"/>
      <c r="J20" s="96"/>
      <c r="K20" s="96"/>
    </row>
    <row r="21" spans="1:11" x14ac:dyDescent="0.25">
      <c r="A21" s="3" t="s">
        <v>62</v>
      </c>
      <c r="B21" s="3"/>
      <c r="C21" s="21"/>
      <c r="D21" s="21"/>
      <c r="E21" s="1"/>
      <c r="I21" s="96"/>
      <c r="J21" s="96"/>
      <c r="K21" s="96"/>
    </row>
    <row r="22" spans="1:11" x14ac:dyDescent="0.25">
      <c r="A22" s="3" t="s">
        <v>58</v>
      </c>
      <c r="B22" s="3"/>
      <c r="C22" s="4"/>
      <c r="D22" s="4"/>
      <c r="E22" s="1"/>
      <c r="I22" s="96"/>
      <c r="J22" s="96"/>
      <c r="K22" s="96"/>
    </row>
    <row r="23" spans="1:11" x14ac:dyDescent="0.25">
      <c r="A23" s="3"/>
      <c r="B23" s="3"/>
      <c r="C23" s="4"/>
      <c r="D23" s="4"/>
      <c r="E23" s="1"/>
      <c r="I23" s="96"/>
      <c r="J23" s="96"/>
      <c r="K23" s="96"/>
    </row>
    <row r="24" spans="1:11" x14ac:dyDescent="0.25">
      <c r="A24" s="3"/>
      <c r="B24" s="3"/>
      <c r="C24" s="4"/>
      <c r="D24" s="4"/>
      <c r="E24" s="1"/>
      <c r="G24" s="97"/>
      <c r="H24" s="97"/>
      <c r="I24" s="96"/>
      <c r="J24" s="96"/>
      <c r="K24" s="96"/>
    </row>
    <row r="25" spans="1:11" x14ac:dyDescent="0.25">
      <c r="A25" s="3"/>
      <c r="B25" s="3"/>
      <c r="C25" s="4"/>
      <c r="D25" s="4"/>
      <c r="E25" s="1"/>
      <c r="J25" s="96"/>
      <c r="K25" s="96"/>
    </row>
    <row r="26" spans="1:11" x14ac:dyDescent="0.25">
      <c r="A26" s="3"/>
      <c r="B26" s="3"/>
      <c r="C26" s="4"/>
      <c r="D26" s="4"/>
      <c r="E26" s="1"/>
      <c r="J26" s="96"/>
    </row>
    <row r="27" spans="1:11" x14ac:dyDescent="0.25">
      <c r="A27" s="3"/>
      <c r="B27" s="3"/>
      <c r="C27" s="4"/>
      <c r="D27" s="4"/>
      <c r="E27" s="1"/>
      <c r="J27" s="96"/>
    </row>
    <row r="28" spans="1:11" x14ac:dyDescent="0.25">
      <c r="A28" s="3"/>
      <c r="B28" s="3"/>
      <c r="C28" s="4"/>
      <c r="D28" s="4"/>
      <c r="E28" s="1"/>
      <c r="J28" s="96"/>
    </row>
    <row r="29" spans="1:11" x14ac:dyDescent="0.25">
      <c r="A29" s="3"/>
      <c r="B29" s="3"/>
      <c r="C29" s="4"/>
      <c r="D29" s="4"/>
      <c r="E29" s="1"/>
      <c r="J29" s="96"/>
    </row>
    <row r="30" spans="1:11" x14ac:dyDescent="0.25">
      <c r="A30" s="3"/>
      <c r="B30" s="3"/>
      <c r="C30" s="4"/>
      <c r="D30" s="4"/>
      <c r="E30" s="1"/>
      <c r="J30" s="96"/>
    </row>
    <row r="31" spans="1:11" x14ac:dyDescent="0.25">
      <c r="A31" s="3"/>
      <c r="B31" s="3"/>
      <c r="C31" s="4"/>
      <c r="D31" s="4"/>
      <c r="E31" s="1"/>
      <c r="J31" s="96"/>
    </row>
    <row r="32" spans="1:11" x14ac:dyDescent="0.25">
      <c r="A32" s="3"/>
      <c r="B32" s="3"/>
      <c r="C32" s="4"/>
      <c r="D32" s="4"/>
      <c r="E32" s="1"/>
      <c r="J32" s="96"/>
    </row>
    <row r="33" spans="1:6" x14ac:dyDescent="0.25">
      <c r="A33" s="3"/>
      <c r="B33" s="3"/>
      <c r="C33" s="4"/>
      <c r="D33" s="4"/>
      <c r="E33" s="1"/>
    </row>
    <row r="34" spans="1:6" x14ac:dyDescent="0.25">
      <c r="A34" s="3"/>
      <c r="B34" s="3"/>
      <c r="C34" s="4"/>
      <c r="D34" s="4"/>
      <c r="E34" s="1"/>
    </row>
    <row r="35" spans="1:6" x14ac:dyDescent="0.25">
      <c r="A35" s="3"/>
      <c r="B35" s="3"/>
      <c r="C35" s="4"/>
      <c r="D35" s="4"/>
      <c r="E35" s="1"/>
    </row>
    <row r="36" spans="1:6" x14ac:dyDescent="0.25">
      <c r="A36" s="3"/>
      <c r="B36" s="3"/>
      <c r="C36" s="4"/>
      <c r="D36" s="4"/>
      <c r="E36" s="1"/>
    </row>
    <row r="37" spans="1:6" x14ac:dyDescent="0.25">
      <c r="A37" s="3"/>
      <c r="B37" s="3"/>
      <c r="C37" s="4"/>
      <c r="D37" s="4"/>
      <c r="E37" s="1"/>
    </row>
    <row r="38" spans="1:6" x14ac:dyDescent="0.25">
      <c r="A38" s="3"/>
      <c r="B38" s="3"/>
      <c r="C38" s="4"/>
      <c r="D38" s="4"/>
      <c r="E38" s="1"/>
    </row>
    <row r="39" spans="1:6" x14ac:dyDescent="0.25">
      <c r="A39" s="3"/>
      <c r="B39" s="3"/>
      <c r="C39" s="4"/>
      <c r="D39" s="4"/>
      <c r="E39" s="1"/>
    </row>
    <row r="40" spans="1:6" x14ac:dyDescent="0.25">
      <c r="A40" s="3"/>
      <c r="B40" s="3"/>
      <c r="C40" s="4"/>
      <c r="D40" s="4"/>
      <c r="E40" s="1"/>
    </row>
    <row r="41" spans="1:6" x14ac:dyDescent="0.25">
      <c r="A41" s="3"/>
      <c r="B41" s="3"/>
      <c r="C41" s="4"/>
      <c r="D41" s="4"/>
      <c r="E41" s="1"/>
    </row>
    <row r="42" spans="1:6" x14ac:dyDescent="0.25">
      <c r="A42" s="3"/>
      <c r="B42" s="3"/>
      <c r="C42" s="4"/>
      <c r="D42" s="4"/>
      <c r="E42" s="1"/>
    </row>
    <row r="43" spans="1:6" x14ac:dyDescent="0.25">
      <c r="A43" s="3"/>
      <c r="B43" s="3"/>
      <c r="C43" s="4"/>
      <c r="D43" s="4"/>
      <c r="E43" s="1"/>
    </row>
    <row r="44" spans="1:6" x14ac:dyDescent="0.25">
      <c r="A44" s="3"/>
      <c r="B44" s="3"/>
      <c r="C44" s="4"/>
      <c r="D44" s="4"/>
      <c r="E44" s="1"/>
    </row>
    <row r="45" spans="1:6" x14ac:dyDescent="0.25">
      <c r="A45" s="3"/>
      <c r="B45" s="3"/>
      <c r="C45" s="4"/>
      <c r="D45" s="4"/>
      <c r="E45" s="1"/>
    </row>
    <row r="46" spans="1:6" x14ac:dyDescent="0.25">
      <c r="A46" s="3"/>
      <c r="B46" s="3"/>
      <c r="C46" s="4"/>
      <c r="D46" s="4"/>
      <c r="E46" s="1"/>
    </row>
    <row r="47" spans="1:6" x14ac:dyDescent="0.25">
      <c r="A47" s="3"/>
      <c r="B47" s="3"/>
      <c r="C47" s="4"/>
      <c r="D47" s="4"/>
      <c r="E47" s="1"/>
    </row>
    <row r="48" spans="1:6" x14ac:dyDescent="0.25">
      <c r="F48" s="97"/>
    </row>
    <row r="50" spans="1:10" x14ac:dyDescent="0.25">
      <c r="A50" s="2"/>
      <c r="B50" s="2"/>
      <c r="C50" s="2"/>
      <c r="D50" s="2"/>
      <c r="E50" s="2"/>
      <c r="J50" s="22"/>
    </row>
    <row r="51" spans="1:10" ht="15.75" customHeight="1" x14ac:dyDescent="0.25">
      <c r="A51" s="196" t="s">
        <v>49</v>
      </c>
      <c r="B51" s="196"/>
      <c r="C51" s="196"/>
      <c r="D51" s="196"/>
      <c r="E51" s="77"/>
      <c r="J51" s="100"/>
    </row>
    <row r="52" spans="1:10" ht="15.75" x14ac:dyDescent="0.25">
      <c r="A52" s="213" t="s">
        <v>81</v>
      </c>
      <c r="B52" s="213"/>
      <c r="C52" s="213"/>
      <c r="D52" s="213"/>
      <c r="E52" s="91"/>
      <c r="J52" s="101"/>
    </row>
    <row r="53" spans="1:10" ht="5.25" customHeight="1" x14ac:dyDescent="0.25">
      <c r="A53" s="70"/>
      <c r="B53" s="70"/>
      <c r="C53" s="70"/>
      <c r="D53" s="70"/>
      <c r="E53" s="70"/>
      <c r="J53" s="102"/>
    </row>
    <row r="54" spans="1:10" ht="60" customHeight="1" x14ac:dyDescent="0.25">
      <c r="A54" s="80" t="s">
        <v>50</v>
      </c>
      <c r="B54" s="7" t="s">
        <v>82</v>
      </c>
      <c r="C54" s="7" t="s">
        <v>83</v>
      </c>
      <c r="D54" s="9" t="s">
        <v>86</v>
      </c>
    </row>
    <row r="55" spans="1:10" ht="5.25" customHeight="1" x14ac:dyDescent="0.25">
      <c r="A55" s="71"/>
      <c r="B55" s="72"/>
      <c r="C55" s="11"/>
      <c r="D55" s="1"/>
    </row>
    <row r="56" spans="1:10" x14ac:dyDescent="0.25">
      <c r="A56" s="73" t="s">
        <v>66</v>
      </c>
      <c r="B56" s="74">
        <f>+((C8/100)*(166.67))/100</f>
        <v>136761.06849999999</v>
      </c>
      <c r="C56" s="74">
        <f>+((D8/100)*(166.67))/100</f>
        <v>135752.71499999997</v>
      </c>
      <c r="D56" s="75">
        <f>((C56/B56)-1)</f>
        <v>-7.3731034062520795E-3</v>
      </c>
    </row>
    <row r="57" spans="1:10" x14ac:dyDescent="0.25">
      <c r="A57" s="73" t="s">
        <v>52</v>
      </c>
      <c r="B57" s="76">
        <f>+(C9*3.6)/100</f>
        <v>582299.93169360003</v>
      </c>
      <c r="C57" s="76">
        <f>+(D9*3.6)/100</f>
        <v>574803.46799999999</v>
      </c>
      <c r="D57" s="75">
        <f t="shared" ref="D57" si="1">((C57/B57)-1)</f>
        <v>-1.2873887296872666E-2</v>
      </c>
    </row>
    <row r="58" spans="1:10" x14ac:dyDescent="0.25">
      <c r="A58" s="73" t="s">
        <v>53</v>
      </c>
      <c r="B58" s="76">
        <f>+(C10*0.16)/100</f>
        <v>248000</v>
      </c>
      <c r="C58" s="76">
        <f>+(D10*0.16)/100</f>
        <v>225600</v>
      </c>
      <c r="D58" s="75">
        <f>((C58/B58)-1)</f>
        <v>-9.0322580645161299E-2</v>
      </c>
    </row>
    <row r="59" spans="1:10" x14ac:dyDescent="0.25">
      <c r="A59" s="73" t="s">
        <v>63</v>
      </c>
      <c r="B59" s="76">
        <f>+(C11/1000)*22.046</f>
        <v>117953.26156593898</v>
      </c>
      <c r="C59" s="76">
        <f>+(D11/1000)*22.046</f>
        <v>127574.73734774999</v>
      </c>
      <c r="D59" s="75">
        <f t="shared" ref="D59:D61" si="2">((C59/B59)-1)</f>
        <v>8.1570239381912657E-2</v>
      </c>
    </row>
    <row r="60" spans="1:10" x14ac:dyDescent="0.25">
      <c r="A60" s="73" t="s">
        <v>64</v>
      </c>
      <c r="B60" s="76">
        <f>+(C12/1000)*22.046</f>
        <v>3644.8382289207061</v>
      </c>
      <c r="C60" s="76">
        <f>+(D12/1000)*22.046</f>
        <v>2011.0140739999997</v>
      </c>
      <c r="D60" s="75">
        <f t="shared" si="2"/>
        <v>-0.44825697391911612</v>
      </c>
    </row>
    <row r="61" spans="1:10" x14ac:dyDescent="0.25">
      <c r="A61" s="73" t="s">
        <v>65</v>
      </c>
      <c r="B61" s="76">
        <f>+(C13/8000)*22.046</f>
        <v>149871.51335349999</v>
      </c>
      <c r="C61" s="76">
        <f>+(D13/8000)*22.046</f>
        <v>182551.54199675002</v>
      </c>
      <c r="D61" s="75">
        <f t="shared" si="2"/>
        <v>0.21805363749259055</v>
      </c>
    </row>
    <row r="62" spans="1:10" x14ac:dyDescent="0.25">
      <c r="A62" s="92" t="s">
        <v>76</v>
      </c>
      <c r="B62" s="93">
        <f>SUM(B56:B61)</f>
        <v>1238530.6133419599</v>
      </c>
      <c r="C62" s="93">
        <f>SUM(C56:C61)</f>
        <v>1248293.4764185001</v>
      </c>
      <c r="D62" s="94">
        <f>((C62/B62)-1)</f>
        <v>7.8826174915425096E-3</v>
      </c>
      <c r="J62" s="103"/>
    </row>
    <row r="63" spans="1:10" x14ac:dyDescent="0.25">
      <c r="A63" s="3" t="s">
        <v>54</v>
      </c>
      <c r="B63" s="3"/>
      <c r="C63" s="4"/>
      <c r="D63" s="4"/>
      <c r="E63" s="1"/>
      <c r="J63" s="103"/>
    </row>
    <row r="64" spans="1:10" x14ac:dyDescent="0.25">
      <c r="A64" s="38" t="s">
        <v>55</v>
      </c>
      <c r="B64" s="3"/>
      <c r="C64" s="4"/>
      <c r="D64" s="4"/>
      <c r="E64" s="1"/>
      <c r="J64" s="103"/>
    </row>
    <row r="65" spans="1:10" x14ac:dyDescent="0.25">
      <c r="A65" s="3" t="s">
        <v>16</v>
      </c>
      <c r="B65" s="3"/>
      <c r="C65" s="4"/>
      <c r="D65" s="4"/>
      <c r="E65" s="1"/>
      <c r="J65" s="103"/>
    </row>
    <row r="66" spans="1:10" x14ac:dyDescent="0.25">
      <c r="A66" s="3" t="s">
        <v>47</v>
      </c>
      <c r="B66" s="3"/>
      <c r="C66" s="4"/>
      <c r="D66" s="4"/>
      <c r="E66" s="1"/>
      <c r="J66" s="103"/>
    </row>
    <row r="67" spans="1:10" x14ac:dyDescent="0.25">
      <c r="A67" s="20" t="s">
        <v>56</v>
      </c>
      <c r="B67" s="20"/>
      <c r="C67" s="21"/>
      <c r="D67" s="21"/>
      <c r="E67" s="1"/>
      <c r="J67" s="103"/>
    </row>
    <row r="68" spans="1:10" x14ac:dyDescent="0.25">
      <c r="A68" s="3" t="s">
        <v>57</v>
      </c>
      <c r="B68" s="3"/>
      <c r="C68" s="21"/>
      <c r="D68" s="21"/>
      <c r="E68" s="1"/>
      <c r="J68" s="103"/>
    </row>
    <row r="69" spans="1:10" x14ac:dyDescent="0.25">
      <c r="A69" s="3" t="s">
        <v>62</v>
      </c>
      <c r="B69" s="3"/>
      <c r="C69" s="21"/>
      <c r="D69" s="21"/>
      <c r="E69" s="1"/>
      <c r="J69" s="103"/>
    </row>
    <row r="70" spans="1:10" x14ac:dyDescent="0.25">
      <c r="A70" s="3" t="s">
        <v>58</v>
      </c>
      <c r="B70" s="3"/>
      <c r="C70" s="4"/>
      <c r="D70" s="4"/>
      <c r="E70" s="1"/>
    </row>
    <row r="71" spans="1:10" x14ac:dyDescent="0.25">
      <c r="A71" s="3"/>
      <c r="B71" s="3"/>
      <c r="C71" s="4"/>
      <c r="D71" s="4"/>
      <c r="E71" s="1"/>
    </row>
    <row r="72" spans="1:10" x14ac:dyDescent="0.25">
      <c r="A72" s="3"/>
      <c r="B72" s="3"/>
      <c r="C72" s="4"/>
      <c r="D72" s="4"/>
      <c r="E72" s="1"/>
    </row>
    <row r="73" spans="1:10" x14ac:dyDescent="0.25">
      <c r="A73" s="3"/>
      <c r="B73" s="3"/>
      <c r="C73" s="4"/>
      <c r="D73" s="4"/>
      <c r="E73" s="1"/>
    </row>
    <row r="74" spans="1:10" x14ac:dyDescent="0.25">
      <c r="A74" s="3"/>
      <c r="B74" s="3"/>
      <c r="C74" s="4"/>
      <c r="D74" s="4"/>
      <c r="E74" s="1"/>
    </row>
    <row r="75" spans="1:10" x14ac:dyDescent="0.25">
      <c r="A75" s="3"/>
      <c r="B75" s="3"/>
      <c r="C75" s="4"/>
      <c r="D75" s="4"/>
      <c r="E75" s="1"/>
    </row>
    <row r="76" spans="1:10" x14ac:dyDescent="0.25">
      <c r="A76" s="3"/>
      <c r="B76" s="3"/>
      <c r="C76" s="4"/>
      <c r="D76" s="4"/>
      <c r="E76" s="1"/>
    </row>
    <row r="77" spans="1:10" x14ac:dyDescent="0.25">
      <c r="A77" s="3"/>
      <c r="B77" s="3"/>
      <c r="C77" s="4"/>
      <c r="D77" s="4"/>
      <c r="E77" s="1"/>
    </row>
    <row r="78" spans="1:10" x14ac:dyDescent="0.25">
      <c r="A78" s="3"/>
      <c r="B78" s="3"/>
      <c r="C78" s="4"/>
      <c r="D78" s="4"/>
      <c r="E78" s="1"/>
    </row>
    <row r="79" spans="1:10" x14ac:dyDescent="0.25">
      <c r="A79" s="3"/>
      <c r="B79" s="3"/>
      <c r="C79" s="4"/>
      <c r="D79" s="4"/>
      <c r="E79" s="1"/>
    </row>
    <row r="80" spans="1:10" x14ac:dyDescent="0.25">
      <c r="A80" s="3"/>
      <c r="B80" s="3"/>
      <c r="C80" s="4"/>
      <c r="D80" s="4"/>
      <c r="E80" s="1"/>
    </row>
    <row r="81" spans="1:5" x14ac:dyDescent="0.25">
      <c r="A81" s="3"/>
      <c r="B81" s="3"/>
      <c r="C81" s="4"/>
      <c r="D81" s="4"/>
      <c r="E81" s="1"/>
    </row>
    <row r="82" spans="1:5" x14ac:dyDescent="0.25">
      <c r="A82" s="3"/>
      <c r="B82" s="3"/>
      <c r="C82" s="4"/>
      <c r="D82" s="4"/>
      <c r="E82" s="1"/>
    </row>
    <row r="83" spans="1:5" x14ac:dyDescent="0.25">
      <c r="A83" s="3"/>
      <c r="B83" s="3"/>
      <c r="C83" s="4"/>
      <c r="D83" s="4"/>
      <c r="E83" s="1"/>
    </row>
    <row r="84" spans="1:5" x14ac:dyDescent="0.25">
      <c r="A84" s="3"/>
      <c r="B84" s="3"/>
      <c r="C84" s="4"/>
      <c r="D84" s="4"/>
      <c r="E84" s="1"/>
    </row>
    <row r="85" spans="1:5" x14ac:dyDescent="0.25">
      <c r="A85" s="3"/>
      <c r="B85" s="3"/>
      <c r="C85" s="4"/>
      <c r="D85" s="4"/>
      <c r="E85" s="1"/>
    </row>
    <row r="86" spans="1:5" x14ac:dyDescent="0.25">
      <c r="A86" s="3"/>
      <c r="B86" s="3"/>
      <c r="C86" s="4"/>
      <c r="D86" s="4"/>
      <c r="E86" s="1"/>
    </row>
    <row r="87" spans="1:5" x14ac:dyDescent="0.25">
      <c r="A87" s="3"/>
      <c r="B87" s="3"/>
      <c r="C87" s="4"/>
      <c r="D87" s="4"/>
      <c r="E87" s="1"/>
    </row>
    <row r="88" spans="1:5" x14ac:dyDescent="0.25">
      <c r="A88" s="3"/>
      <c r="B88" s="3"/>
      <c r="C88" s="4"/>
      <c r="D88" s="4"/>
      <c r="E88" s="1"/>
    </row>
    <row r="89" spans="1:5" x14ac:dyDescent="0.25">
      <c r="A89" s="3"/>
      <c r="B89" s="3"/>
      <c r="C89" s="4"/>
      <c r="D89" s="4"/>
      <c r="E89" s="1"/>
    </row>
    <row r="90" spans="1:5" x14ac:dyDescent="0.25">
      <c r="A90" s="3"/>
      <c r="B90" s="3"/>
      <c r="C90" s="4"/>
      <c r="D90" s="4"/>
      <c r="E90" s="1"/>
    </row>
    <row r="91" spans="1:5" x14ac:dyDescent="0.25">
      <c r="A91" s="3"/>
      <c r="B91" s="3"/>
      <c r="C91" s="4"/>
      <c r="D91" s="4"/>
      <c r="E91" s="1"/>
    </row>
    <row r="92" spans="1:5" x14ac:dyDescent="0.25">
      <c r="A92" s="3"/>
      <c r="B92" s="3"/>
      <c r="C92" s="4"/>
      <c r="D92" s="4"/>
      <c r="E92" s="1"/>
    </row>
    <row r="93" spans="1:5" x14ac:dyDescent="0.25">
      <c r="A93" s="2"/>
      <c r="B93" s="2"/>
      <c r="C93" s="2"/>
      <c r="D93" s="2"/>
      <c r="E93" s="2"/>
    </row>
    <row r="97" spans="1:4" x14ac:dyDescent="0.25">
      <c r="A97" s="2"/>
      <c r="B97" s="2"/>
      <c r="C97" s="2"/>
      <c r="D97" s="2"/>
    </row>
    <row r="98" spans="1:4" ht="15.75" x14ac:dyDescent="0.25">
      <c r="A98" s="196" t="s">
        <v>49</v>
      </c>
      <c r="B98" s="196"/>
      <c r="C98" s="196"/>
      <c r="D98" s="196"/>
    </row>
    <row r="99" spans="1:4" ht="15.75" x14ac:dyDescent="0.25">
      <c r="A99" s="213" t="s">
        <v>87</v>
      </c>
      <c r="B99" s="213"/>
      <c r="C99" s="213"/>
      <c r="D99" s="213"/>
    </row>
    <row r="100" spans="1:4" ht="3" customHeight="1" x14ac:dyDescent="0.25">
      <c r="A100" s="70"/>
      <c r="B100" s="70"/>
      <c r="C100" s="70"/>
      <c r="D100" s="70"/>
    </row>
    <row r="101" spans="1:4" ht="51.75" x14ac:dyDescent="0.25">
      <c r="A101" s="80" t="s">
        <v>50</v>
      </c>
      <c r="B101" s="7" t="s">
        <v>82</v>
      </c>
      <c r="C101" s="7" t="s">
        <v>83</v>
      </c>
      <c r="D101" s="9" t="s">
        <v>86</v>
      </c>
    </row>
    <row r="102" spans="1:4" ht="3.75" customHeight="1" x14ac:dyDescent="0.25">
      <c r="A102" s="71"/>
      <c r="B102" s="72"/>
      <c r="C102" s="11"/>
      <c r="D102" s="1"/>
    </row>
    <row r="103" spans="1:4" x14ac:dyDescent="0.25">
      <c r="A103" s="73" t="s">
        <v>66</v>
      </c>
      <c r="B103" s="74">
        <f t="shared" ref="B103:C106" si="3">+B56</f>
        <v>136761.06849999999</v>
      </c>
      <c r="C103" s="74">
        <f t="shared" si="3"/>
        <v>135752.71499999997</v>
      </c>
      <c r="D103" s="75">
        <f>((C103/B103)-1)</f>
        <v>-7.3731034062520795E-3</v>
      </c>
    </row>
    <row r="104" spans="1:4" x14ac:dyDescent="0.25">
      <c r="A104" s="73" t="s">
        <v>52</v>
      </c>
      <c r="B104" s="76">
        <f t="shared" si="3"/>
        <v>582299.93169360003</v>
      </c>
      <c r="C104" s="76">
        <f t="shared" si="3"/>
        <v>574803.46799999999</v>
      </c>
      <c r="D104" s="75">
        <f t="shared" ref="D104" si="4">((C104/B104)-1)</f>
        <v>-1.2873887296872666E-2</v>
      </c>
    </row>
    <row r="105" spans="1:4" x14ac:dyDescent="0.25">
      <c r="A105" s="73" t="s">
        <v>53</v>
      </c>
      <c r="B105" s="76">
        <f t="shared" si="3"/>
        <v>248000</v>
      </c>
      <c r="C105" s="76">
        <f t="shared" si="3"/>
        <v>225600</v>
      </c>
      <c r="D105" s="75">
        <f>((C105/B105)-1)</f>
        <v>-9.0322580645161299E-2</v>
      </c>
    </row>
    <row r="106" spans="1:4" x14ac:dyDescent="0.25">
      <c r="A106" s="73" t="s">
        <v>63</v>
      </c>
      <c r="B106" s="76">
        <f t="shared" si="3"/>
        <v>117953.26156593898</v>
      </c>
      <c r="C106" s="76">
        <f t="shared" si="3"/>
        <v>127574.73734774999</v>
      </c>
      <c r="D106" s="75">
        <f t="shared" ref="D106" si="5">((C106/B106)-1)</f>
        <v>8.1570239381912657E-2</v>
      </c>
    </row>
    <row r="107" spans="1:4" x14ac:dyDescent="0.25">
      <c r="A107" s="73" t="s">
        <v>65</v>
      </c>
      <c r="B107" s="76">
        <f>+B61</f>
        <v>149871.51335349999</v>
      </c>
      <c r="C107" s="76">
        <f>+C61</f>
        <v>182551.54199675002</v>
      </c>
      <c r="D107" s="75">
        <f>((C107/B107)-1)</f>
        <v>0.21805363749259055</v>
      </c>
    </row>
    <row r="108" spans="1:4" x14ac:dyDescent="0.25">
      <c r="A108" s="92" t="s">
        <v>76</v>
      </c>
      <c r="B108" s="93">
        <f>SUM(B103:B107)</f>
        <v>1234885.7751130392</v>
      </c>
      <c r="C108" s="93">
        <f>SUM(C103:C107)</f>
        <v>1246282.4623445</v>
      </c>
      <c r="D108" s="94">
        <f>((C108/B108)-1)</f>
        <v>9.2289404098266914E-3</v>
      </c>
    </row>
    <row r="109" spans="1:4" x14ac:dyDescent="0.25">
      <c r="A109" s="3" t="s">
        <v>54</v>
      </c>
      <c r="B109" s="3"/>
      <c r="C109" s="4"/>
      <c r="D109" s="4"/>
    </row>
    <row r="110" spans="1:4" x14ac:dyDescent="0.25">
      <c r="A110" s="38" t="s">
        <v>55</v>
      </c>
      <c r="B110" s="3"/>
      <c r="C110" s="4"/>
      <c r="D110" s="4"/>
    </row>
    <row r="111" spans="1:4" x14ac:dyDescent="0.25">
      <c r="A111" s="3" t="s">
        <v>16</v>
      </c>
      <c r="B111" s="3"/>
      <c r="C111" s="4"/>
      <c r="D111" s="4"/>
    </row>
    <row r="112" spans="1:4" x14ac:dyDescent="0.25">
      <c r="A112" s="3" t="s">
        <v>47</v>
      </c>
      <c r="B112" s="3"/>
      <c r="C112" s="4"/>
      <c r="D112" s="4"/>
    </row>
    <row r="113" spans="1:4" x14ac:dyDescent="0.25">
      <c r="A113" s="20" t="s">
        <v>56</v>
      </c>
      <c r="B113" s="20"/>
      <c r="C113" s="21"/>
      <c r="D113" s="21"/>
    </row>
    <row r="114" spans="1:4" x14ac:dyDescent="0.25">
      <c r="A114" s="3" t="s">
        <v>57</v>
      </c>
      <c r="B114" s="3"/>
      <c r="C114" s="21"/>
      <c r="D114" s="21"/>
    </row>
    <row r="115" spans="1:4" x14ac:dyDescent="0.25">
      <c r="A115" s="3" t="s">
        <v>62</v>
      </c>
      <c r="B115" s="3"/>
      <c r="C115" s="21"/>
      <c r="D115" s="21"/>
    </row>
    <row r="116" spans="1:4" x14ac:dyDescent="0.25">
      <c r="A116" s="3" t="s">
        <v>58</v>
      </c>
      <c r="B116" s="3"/>
      <c r="C116" s="4"/>
      <c r="D116" s="4"/>
    </row>
    <row r="123" spans="1:4" ht="4.5" customHeight="1" x14ac:dyDescent="0.25"/>
  </sheetData>
  <mergeCells count="8">
    <mergeCell ref="A98:D98"/>
    <mergeCell ref="A99:D99"/>
    <mergeCell ref="A3:E3"/>
    <mergeCell ref="A4:E4"/>
    <mergeCell ref="F6:H6"/>
    <mergeCell ref="G8:H8"/>
    <mergeCell ref="A51:D51"/>
    <mergeCell ref="A52:D52"/>
  </mergeCells>
  <pageMargins left="1.1499999999999999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L123"/>
  <sheetViews>
    <sheetView workbookViewId="0">
      <selection activeCell="G22" sqref="G22"/>
    </sheetView>
  </sheetViews>
  <sheetFormatPr baseColWidth="10" defaultColWidth="9.140625" defaultRowHeight="15" x14ac:dyDescent="0.25"/>
  <cols>
    <col min="1" max="1" width="20.5703125" customWidth="1"/>
    <col min="2" max="2" width="13" customWidth="1"/>
    <col min="3" max="3" width="13.85546875" customWidth="1"/>
    <col min="4" max="4" width="17.140625" customWidth="1"/>
    <col min="5" max="5" width="17.28515625" customWidth="1"/>
    <col min="6" max="6" width="15.140625" style="96" customWidth="1"/>
    <col min="7" max="7" width="15.5703125" style="96" customWidth="1"/>
    <col min="8" max="8" width="16.42578125" style="96" customWidth="1"/>
    <col min="9" max="9" width="18.7109375" style="98" customWidth="1"/>
    <col min="10" max="10" width="16.140625" style="98" customWidth="1"/>
    <col min="11" max="11" width="16.85546875" style="98" customWidth="1"/>
    <col min="12" max="12" width="14.85546875" style="98" customWidth="1"/>
    <col min="13" max="13" width="14.140625" bestFit="1" customWidth="1"/>
    <col min="14" max="14" width="15.140625" bestFit="1" customWidth="1"/>
    <col min="15" max="15" width="14.140625" bestFit="1" customWidth="1"/>
    <col min="16" max="16" width="11.5703125" bestFit="1" customWidth="1"/>
    <col min="17" max="17" width="15.140625" bestFit="1" customWidth="1"/>
  </cols>
  <sheetData>
    <row r="2" spans="1:12" x14ac:dyDescent="0.25">
      <c r="A2" s="2"/>
      <c r="B2" s="2"/>
      <c r="C2" s="2"/>
      <c r="D2" s="2"/>
      <c r="E2" s="2"/>
    </row>
    <row r="3" spans="1:12" ht="15.75" x14ac:dyDescent="0.25">
      <c r="A3" s="196" t="s">
        <v>49</v>
      </c>
      <c r="B3" s="196"/>
      <c r="C3" s="196"/>
      <c r="D3" s="196"/>
      <c r="E3" s="196"/>
    </row>
    <row r="4" spans="1:12" ht="15.75" x14ac:dyDescent="0.25">
      <c r="A4" s="213" t="s">
        <v>80</v>
      </c>
      <c r="B4" s="213"/>
      <c r="C4" s="213"/>
      <c r="D4" s="213"/>
      <c r="E4" s="213"/>
    </row>
    <row r="5" spans="1:12" ht="6" customHeight="1" x14ac:dyDescent="0.25">
      <c r="A5" s="70"/>
      <c r="B5" s="70"/>
      <c r="C5" s="70"/>
      <c r="D5" s="70"/>
      <c r="E5" s="70"/>
    </row>
    <row r="6" spans="1:12" ht="52.5" customHeight="1" x14ac:dyDescent="0.25">
      <c r="A6" s="80" t="s">
        <v>50</v>
      </c>
      <c r="B6" s="7" t="s">
        <v>51</v>
      </c>
      <c r="C6" s="7" t="s">
        <v>77</v>
      </c>
      <c r="D6" s="7" t="s">
        <v>78</v>
      </c>
      <c r="E6" s="9" t="s">
        <v>79</v>
      </c>
      <c r="F6" s="214"/>
      <c r="G6" s="214"/>
      <c r="H6" s="214"/>
      <c r="I6" s="97"/>
      <c r="J6" s="97"/>
      <c r="K6" s="97"/>
    </row>
    <row r="7" spans="1:12" ht="3.75" customHeight="1" x14ac:dyDescent="0.25">
      <c r="A7" s="71"/>
      <c r="B7" s="71"/>
      <c r="C7" s="72"/>
      <c r="D7" s="11"/>
      <c r="E7" s="1"/>
      <c r="I7" s="96"/>
      <c r="J7" s="96"/>
      <c r="K7" s="96"/>
    </row>
    <row r="8" spans="1:12" x14ac:dyDescent="0.25">
      <c r="A8" s="73" t="s">
        <v>66</v>
      </c>
      <c r="B8" s="73" t="s">
        <v>59</v>
      </c>
      <c r="C8" s="74">
        <f>SUM(MODIFICADO!B9:B14)</f>
        <v>48695000</v>
      </c>
      <c r="D8" s="74">
        <f>SUM(MODIFICADO!H9:H14)</f>
        <v>48635000</v>
      </c>
      <c r="E8" s="75">
        <f>((D8/C8)-1)</f>
        <v>-1.2321593592771185E-3</v>
      </c>
      <c r="F8" s="97"/>
      <c r="G8" s="215"/>
      <c r="H8" s="215"/>
      <c r="I8" s="41"/>
      <c r="J8" s="41"/>
      <c r="K8" s="41"/>
    </row>
    <row r="9" spans="1:12" x14ac:dyDescent="0.25">
      <c r="A9" s="73" t="s">
        <v>52</v>
      </c>
      <c r="B9" s="73" t="s">
        <v>60</v>
      </c>
      <c r="C9" s="76">
        <f>SUM(MODIFICADO!C9:C14)</f>
        <v>96280307.233099997</v>
      </c>
      <c r="D9" s="74">
        <f>SUM(MODIFICADO!I9:I14)</f>
        <v>96680445</v>
      </c>
      <c r="E9" s="75">
        <f>((D9/C9)-1)</f>
        <v>4.1559668679831407E-3</v>
      </c>
      <c r="F9" s="37"/>
      <c r="I9" s="96"/>
      <c r="J9" s="96"/>
      <c r="K9" s="96"/>
    </row>
    <row r="10" spans="1:12" x14ac:dyDescent="0.25">
      <c r="A10" s="73" t="s">
        <v>53</v>
      </c>
      <c r="B10" s="73" t="s">
        <v>60</v>
      </c>
      <c r="C10" s="76">
        <v>907000000</v>
      </c>
      <c r="D10" s="74">
        <f>SUM(MODIFICADO!J9:J14)</f>
        <v>861000000</v>
      </c>
      <c r="E10" s="75">
        <f>((D10/C10)-1)</f>
        <v>-5.0716648291069477E-2</v>
      </c>
      <c r="F10" s="37"/>
      <c r="G10" s="97"/>
      <c r="H10" s="97"/>
      <c r="I10" s="96"/>
      <c r="J10" s="96"/>
      <c r="K10" s="96"/>
    </row>
    <row r="11" spans="1:12" x14ac:dyDescent="0.25">
      <c r="A11" s="73" t="s">
        <v>63</v>
      </c>
      <c r="B11" s="73" t="s">
        <v>59</v>
      </c>
      <c r="C11" s="76">
        <v>31235766.316772729</v>
      </c>
      <c r="D11" s="74">
        <f>SUM(MODIFICADO!K9:K14)</f>
        <v>37941737</v>
      </c>
      <c r="E11" s="75">
        <f t="shared" ref="E11:E13" si="0">((D11/C11)-1)</f>
        <v>0.21468884788097387</v>
      </c>
      <c r="F11" s="37"/>
      <c r="I11" s="97"/>
      <c r="J11" s="96"/>
      <c r="K11" s="97"/>
      <c r="L11" s="99">
        <f>+D9/100</f>
        <v>966804.45</v>
      </c>
    </row>
    <row r="12" spans="1:12" x14ac:dyDescent="0.25">
      <c r="A12" s="73" t="s">
        <v>64</v>
      </c>
      <c r="B12" s="73" t="s">
        <v>59</v>
      </c>
      <c r="C12" s="76">
        <v>979643.01959797484</v>
      </c>
      <c r="D12" s="74">
        <f>SUM(MODIFICADO!L9:L14)</f>
        <v>550301</v>
      </c>
      <c r="E12" s="75">
        <f t="shared" si="0"/>
        <v>-0.43826374608800656</v>
      </c>
      <c r="F12" s="37"/>
      <c r="I12" s="97"/>
      <c r="J12" s="96"/>
      <c r="K12" s="96"/>
      <c r="L12" s="99"/>
    </row>
    <row r="13" spans="1:12" x14ac:dyDescent="0.25">
      <c r="A13" s="73" t="s">
        <v>65</v>
      </c>
      <c r="B13" s="73" t="s">
        <v>61</v>
      </c>
      <c r="C13" s="76">
        <v>320630640</v>
      </c>
      <c r="D13" s="74">
        <f>SUM(MODIFICADO!M9:M14)</f>
        <v>360671581</v>
      </c>
      <c r="E13" s="75">
        <f t="shared" si="0"/>
        <v>0.12488182975900242</v>
      </c>
      <c r="F13" s="37"/>
      <c r="G13" s="97"/>
      <c r="H13" s="97"/>
      <c r="I13" s="97"/>
      <c r="J13" s="96"/>
      <c r="K13" s="96"/>
      <c r="L13" s="99"/>
    </row>
    <row r="14" spans="1:12" ht="8.25" customHeight="1" x14ac:dyDescent="0.25">
      <c r="A14" s="8"/>
      <c r="B14" s="8"/>
      <c r="C14" s="8"/>
      <c r="D14" s="8"/>
      <c r="E14" s="8"/>
      <c r="F14" s="104"/>
      <c r="I14" s="96"/>
      <c r="J14" s="96"/>
      <c r="K14" s="96"/>
    </row>
    <row r="15" spans="1:12" x14ac:dyDescent="0.25">
      <c r="A15" s="3" t="s">
        <v>54</v>
      </c>
      <c r="B15" s="3"/>
      <c r="C15" s="4"/>
      <c r="D15" s="4"/>
      <c r="E15" s="1"/>
      <c r="F15" s="104"/>
      <c r="I15" s="96"/>
      <c r="J15" s="96"/>
      <c r="K15" s="96"/>
    </row>
    <row r="16" spans="1:12" x14ac:dyDescent="0.25">
      <c r="A16" s="38" t="s">
        <v>55</v>
      </c>
      <c r="B16" s="3"/>
      <c r="C16" s="4"/>
      <c r="D16" s="4"/>
      <c r="E16" s="1"/>
      <c r="F16" s="104"/>
      <c r="I16" s="96"/>
      <c r="J16" s="96"/>
      <c r="K16" s="96"/>
    </row>
    <row r="17" spans="1:11" x14ac:dyDescent="0.25">
      <c r="A17" s="3" t="s">
        <v>16</v>
      </c>
      <c r="B17" s="3"/>
      <c r="C17" s="4"/>
      <c r="D17" s="4"/>
      <c r="E17" s="1"/>
      <c r="F17" s="104"/>
      <c r="G17" s="104"/>
      <c r="H17" s="104"/>
      <c r="I17" s="96"/>
      <c r="J17" s="96"/>
      <c r="K17" s="96"/>
    </row>
    <row r="18" spans="1:11" x14ac:dyDescent="0.25">
      <c r="A18" s="3" t="s">
        <v>47</v>
      </c>
      <c r="B18" s="3"/>
      <c r="C18" s="4"/>
      <c r="D18" s="4"/>
      <c r="E18" s="1"/>
      <c r="F18" s="104"/>
      <c r="G18" s="97"/>
      <c r="H18" s="97"/>
      <c r="I18" s="96"/>
      <c r="J18" s="96"/>
      <c r="K18" s="96"/>
    </row>
    <row r="19" spans="1:11" x14ac:dyDescent="0.25">
      <c r="A19" s="20" t="s">
        <v>56</v>
      </c>
      <c r="B19" s="20"/>
      <c r="C19" s="21"/>
      <c r="D19" s="21"/>
      <c r="E19" s="1"/>
      <c r="F19" s="104"/>
      <c r="G19" s="97"/>
      <c r="H19" s="97"/>
      <c r="I19" s="96"/>
      <c r="J19" s="96"/>
      <c r="K19" s="96"/>
    </row>
    <row r="20" spans="1:11" x14ac:dyDescent="0.25">
      <c r="A20" s="3" t="s">
        <v>57</v>
      </c>
      <c r="B20" s="3"/>
      <c r="C20" s="21"/>
      <c r="D20" s="21"/>
      <c r="E20" s="1"/>
      <c r="G20" s="97"/>
      <c r="I20" s="96"/>
      <c r="J20" s="96"/>
      <c r="K20" s="96"/>
    </row>
    <row r="21" spans="1:11" x14ac:dyDescent="0.25">
      <c r="A21" s="3" t="s">
        <v>62</v>
      </c>
      <c r="B21" s="3"/>
      <c r="C21" s="21"/>
      <c r="D21" s="21"/>
      <c r="E21" s="1"/>
      <c r="I21" s="96"/>
      <c r="J21" s="96"/>
      <c r="K21" s="96"/>
    </row>
    <row r="22" spans="1:11" x14ac:dyDescent="0.25">
      <c r="A22" s="3" t="s">
        <v>58</v>
      </c>
      <c r="B22" s="3"/>
      <c r="C22" s="4"/>
      <c r="D22" s="4"/>
      <c r="E22" s="1"/>
      <c r="I22" s="96"/>
      <c r="J22" s="96"/>
      <c r="K22" s="96"/>
    </row>
    <row r="23" spans="1:11" x14ac:dyDescent="0.25">
      <c r="A23" s="3"/>
      <c r="B23" s="3"/>
      <c r="C23" s="4"/>
      <c r="D23" s="4"/>
      <c r="E23" s="1"/>
      <c r="I23" s="96"/>
      <c r="J23" s="96"/>
      <c r="K23" s="96"/>
    </row>
    <row r="24" spans="1:11" x14ac:dyDescent="0.25">
      <c r="A24" s="3"/>
      <c r="B24" s="3"/>
      <c r="C24" s="4"/>
      <c r="D24" s="4"/>
      <c r="E24" s="1"/>
      <c r="G24" s="97"/>
      <c r="H24" s="97"/>
      <c r="I24" s="96"/>
      <c r="J24" s="96"/>
      <c r="K24" s="96"/>
    </row>
    <row r="25" spans="1:11" x14ac:dyDescent="0.25">
      <c r="A25" s="3"/>
      <c r="B25" s="3"/>
      <c r="C25" s="4"/>
      <c r="D25" s="4"/>
      <c r="E25" s="1"/>
      <c r="J25" s="96"/>
      <c r="K25" s="96"/>
    </row>
    <row r="26" spans="1:11" x14ac:dyDescent="0.25">
      <c r="A26" s="3"/>
      <c r="B26" s="3"/>
      <c r="C26" s="4"/>
      <c r="D26" s="4"/>
      <c r="E26" s="1"/>
      <c r="J26" s="96"/>
    </row>
    <row r="27" spans="1:11" x14ac:dyDescent="0.25">
      <c r="A27" s="3"/>
      <c r="B27" s="3"/>
      <c r="C27" s="4"/>
      <c r="D27" s="4"/>
      <c r="E27" s="1"/>
      <c r="J27" s="96"/>
    </row>
    <row r="28" spans="1:11" x14ac:dyDescent="0.25">
      <c r="A28" s="3"/>
      <c r="B28" s="3"/>
      <c r="C28" s="4"/>
      <c r="D28" s="4"/>
      <c r="E28" s="1"/>
      <c r="J28" s="96"/>
    </row>
    <row r="29" spans="1:11" x14ac:dyDescent="0.25">
      <c r="A29" s="3"/>
      <c r="B29" s="3"/>
      <c r="C29" s="4"/>
      <c r="D29" s="4"/>
      <c r="E29" s="1"/>
      <c r="J29" s="96"/>
    </row>
    <row r="30" spans="1:11" x14ac:dyDescent="0.25">
      <c r="A30" s="3"/>
      <c r="B30" s="3"/>
      <c r="C30" s="4"/>
      <c r="D30" s="4"/>
      <c r="E30" s="1"/>
      <c r="J30" s="96"/>
    </row>
    <row r="31" spans="1:11" x14ac:dyDescent="0.25">
      <c r="A31" s="3"/>
      <c r="B31" s="3"/>
      <c r="C31" s="4"/>
      <c r="D31" s="4"/>
      <c r="E31" s="1"/>
      <c r="J31" s="96"/>
    </row>
    <row r="32" spans="1:11" x14ac:dyDescent="0.25">
      <c r="A32" s="3"/>
      <c r="B32" s="3"/>
      <c r="C32" s="4"/>
      <c r="D32" s="4"/>
      <c r="E32" s="1"/>
      <c r="J32" s="96"/>
    </row>
    <row r="33" spans="1:6" x14ac:dyDescent="0.25">
      <c r="A33" s="3"/>
      <c r="B33" s="3"/>
      <c r="C33" s="4"/>
      <c r="D33" s="4"/>
      <c r="E33" s="1"/>
    </row>
    <row r="34" spans="1:6" x14ac:dyDescent="0.25">
      <c r="A34" s="3"/>
      <c r="B34" s="3"/>
      <c r="C34" s="4"/>
      <c r="D34" s="4"/>
      <c r="E34" s="1"/>
    </row>
    <row r="35" spans="1:6" x14ac:dyDescent="0.25">
      <c r="A35" s="3"/>
      <c r="B35" s="3"/>
      <c r="C35" s="4"/>
      <c r="D35" s="4"/>
      <c r="E35" s="1"/>
    </row>
    <row r="36" spans="1:6" x14ac:dyDescent="0.25">
      <c r="A36" s="3"/>
      <c r="B36" s="3"/>
      <c r="C36" s="4"/>
      <c r="D36" s="4"/>
      <c r="E36" s="1"/>
    </row>
    <row r="37" spans="1:6" x14ac:dyDescent="0.25">
      <c r="A37" s="3"/>
      <c r="B37" s="3"/>
      <c r="C37" s="4"/>
      <c r="D37" s="4"/>
      <c r="E37" s="1"/>
    </row>
    <row r="38" spans="1:6" x14ac:dyDescent="0.25">
      <c r="A38" s="3"/>
      <c r="B38" s="3"/>
      <c r="C38" s="4"/>
      <c r="D38" s="4"/>
      <c r="E38" s="1"/>
    </row>
    <row r="39" spans="1:6" x14ac:dyDescent="0.25">
      <c r="A39" s="3"/>
      <c r="B39" s="3"/>
      <c r="C39" s="4"/>
      <c r="D39" s="4"/>
      <c r="E39" s="1"/>
    </row>
    <row r="40" spans="1:6" x14ac:dyDescent="0.25">
      <c r="A40" s="3"/>
      <c r="B40" s="3"/>
      <c r="C40" s="4"/>
      <c r="D40" s="4"/>
      <c r="E40" s="1"/>
    </row>
    <row r="41" spans="1:6" x14ac:dyDescent="0.25">
      <c r="A41" s="3"/>
      <c r="B41" s="3"/>
      <c r="C41" s="4"/>
      <c r="D41" s="4"/>
      <c r="E41" s="1"/>
    </row>
    <row r="42" spans="1:6" x14ac:dyDescent="0.25">
      <c r="A42" s="3"/>
      <c r="B42" s="3"/>
      <c r="C42" s="4"/>
      <c r="D42" s="4"/>
      <c r="E42" s="1"/>
    </row>
    <row r="43" spans="1:6" x14ac:dyDescent="0.25">
      <c r="A43" s="3"/>
      <c r="B43" s="3"/>
      <c r="C43" s="4"/>
      <c r="D43" s="4"/>
      <c r="E43" s="1"/>
    </row>
    <row r="44" spans="1:6" x14ac:dyDescent="0.25">
      <c r="A44" s="3"/>
      <c r="B44" s="3"/>
      <c r="C44" s="4"/>
      <c r="D44" s="4"/>
      <c r="E44" s="1"/>
    </row>
    <row r="45" spans="1:6" x14ac:dyDescent="0.25">
      <c r="A45" s="3"/>
      <c r="B45" s="3"/>
      <c r="C45" s="4"/>
      <c r="D45" s="4"/>
      <c r="E45" s="1"/>
    </row>
    <row r="46" spans="1:6" x14ac:dyDescent="0.25">
      <c r="A46" s="3"/>
      <c r="B46" s="3"/>
      <c r="C46" s="4"/>
      <c r="D46" s="4"/>
      <c r="E46" s="1"/>
    </row>
    <row r="47" spans="1:6" x14ac:dyDescent="0.25">
      <c r="A47" s="3"/>
      <c r="B47" s="3"/>
      <c r="C47" s="4"/>
      <c r="D47" s="4"/>
      <c r="E47" s="1"/>
    </row>
    <row r="48" spans="1:6" x14ac:dyDescent="0.25">
      <c r="F48" s="97"/>
    </row>
    <row r="50" spans="1:10" x14ac:dyDescent="0.25">
      <c r="A50" s="2"/>
      <c r="B50" s="2"/>
      <c r="C50" s="2"/>
      <c r="D50" s="2"/>
      <c r="E50" s="2"/>
      <c r="J50" s="22"/>
    </row>
    <row r="51" spans="1:10" ht="15.75" customHeight="1" x14ac:dyDescent="0.25">
      <c r="A51" s="196" t="s">
        <v>49</v>
      </c>
      <c r="B51" s="196"/>
      <c r="C51" s="196"/>
      <c r="D51" s="196"/>
      <c r="E51" s="77"/>
      <c r="J51" s="100"/>
    </row>
    <row r="52" spans="1:10" ht="15.75" x14ac:dyDescent="0.25">
      <c r="A52" s="213" t="s">
        <v>81</v>
      </c>
      <c r="B52" s="213"/>
      <c r="C52" s="213"/>
      <c r="D52" s="213"/>
      <c r="E52" s="91"/>
      <c r="J52" s="101"/>
    </row>
    <row r="53" spans="1:10" ht="5.25" customHeight="1" x14ac:dyDescent="0.25">
      <c r="A53" s="70"/>
      <c r="B53" s="70"/>
      <c r="C53" s="70"/>
      <c r="D53" s="70"/>
      <c r="E53" s="70"/>
      <c r="J53" s="102"/>
    </row>
    <row r="54" spans="1:10" ht="60" customHeight="1" x14ac:dyDescent="0.25">
      <c r="A54" s="80" t="s">
        <v>50</v>
      </c>
      <c r="B54" s="7" t="s">
        <v>77</v>
      </c>
      <c r="C54" s="7" t="s">
        <v>78</v>
      </c>
      <c r="D54" s="9" t="s">
        <v>79</v>
      </c>
    </row>
    <row r="55" spans="1:10" ht="5.25" customHeight="1" x14ac:dyDescent="0.25">
      <c r="A55" s="71"/>
      <c r="B55" s="72"/>
      <c r="C55" s="11"/>
      <c r="D55" s="1"/>
    </row>
    <row r="56" spans="1:10" x14ac:dyDescent="0.25">
      <c r="A56" s="73" t="s">
        <v>66</v>
      </c>
      <c r="B56" s="74">
        <f>+((C8/100)*(166.67))/100</f>
        <v>811599.56499999994</v>
      </c>
      <c r="C56" s="74">
        <f>+((D8/100)*(166.67))/100</f>
        <v>810599.54500000004</v>
      </c>
      <c r="D56" s="75">
        <f>((C56/B56)-1)</f>
        <v>-1.2321593592770075E-3</v>
      </c>
    </row>
    <row r="57" spans="1:10" x14ac:dyDescent="0.25">
      <c r="A57" s="73" t="s">
        <v>52</v>
      </c>
      <c r="B57" s="76">
        <f>+(C9*3.6)/100</f>
        <v>3466091.0603916002</v>
      </c>
      <c r="C57" s="76">
        <f>+(D9*3.6)/100</f>
        <v>3480496.02</v>
      </c>
      <c r="D57" s="75">
        <f t="shared" ref="D57" si="1">((C57/B57)-1)</f>
        <v>4.1559668679831407E-3</v>
      </c>
    </row>
    <row r="58" spans="1:10" x14ac:dyDescent="0.25">
      <c r="A58" s="73" t="s">
        <v>53</v>
      </c>
      <c r="B58" s="76">
        <f>+(C10*0.16)/100</f>
        <v>1451200</v>
      </c>
      <c r="C58" s="76">
        <f>+(D10*0.16)/100</f>
        <v>1377600</v>
      </c>
      <c r="D58" s="75">
        <f>((C58/B58)-1)</f>
        <v>-5.0716648291069477E-2</v>
      </c>
    </row>
    <row r="59" spans="1:10" x14ac:dyDescent="0.25">
      <c r="A59" s="73" t="s">
        <v>63</v>
      </c>
      <c r="B59" s="76">
        <f>+(C11/1000)*22.046</f>
        <v>688623.70421957155</v>
      </c>
      <c r="C59" s="76">
        <f>+(D11/1000)*22.046</f>
        <v>836463.53390200005</v>
      </c>
      <c r="D59" s="75">
        <f t="shared" ref="D59:D61" si="2">((C59/B59)-1)</f>
        <v>0.21468884788097409</v>
      </c>
    </row>
    <row r="60" spans="1:10" x14ac:dyDescent="0.25">
      <c r="A60" s="73" t="s">
        <v>64</v>
      </c>
      <c r="B60" s="76">
        <f>+(C12/1000)*22.046</f>
        <v>21597.210010056951</v>
      </c>
      <c r="C60" s="76">
        <f>+(D12/1000)*22.046</f>
        <v>12131.935846</v>
      </c>
      <c r="D60" s="75">
        <f t="shared" si="2"/>
        <v>-0.43826374608800645</v>
      </c>
    </row>
    <row r="61" spans="1:10" x14ac:dyDescent="0.25">
      <c r="A61" s="73" t="s">
        <v>65</v>
      </c>
      <c r="B61" s="76">
        <f>+(C13/8000)*22.046</f>
        <v>883577.88618000003</v>
      </c>
      <c r="C61" s="76">
        <f>+(D13/8000)*22.046</f>
        <v>993920.70934075001</v>
      </c>
      <c r="D61" s="75">
        <f t="shared" si="2"/>
        <v>0.12488182975900242</v>
      </c>
    </row>
    <row r="62" spans="1:10" x14ac:dyDescent="0.25">
      <c r="A62" s="92" t="s">
        <v>76</v>
      </c>
      <c r="B62" s="93">
        <f>SUM(B56:B61)</f>
        <v>7322689.4258012297</v>
      </c>
      <c r="C62" s="93">
        <f>SUM(C56:C61)</f>
        <v>7511211.7440887503</v>
      </c>
      <c r="D62" s="94">
        <f>((C62/B62)-1)</f>
        <v>2.5744956166414701E-2</v>
      </c>
      <c r="J62" s="103"/>
    </row>
    <row r="63" spans="1:10" x14ac:dyDescent="0.25">
      <c r="A63" s="3" t="s">
        <v>54</v>
      </c>
      <c r="B63" s="3"/>
      <c r="C63" s="4"/>
      <c r="D63" s="4"/>
      <c r="E63" s="1"/>
      <c r="J63" s="103"/>
    </row>
    <row r="64" spans="1:10" x14ac:dyDescent="0.25">
      <c r="A64" s="38" t="s">
        <v>55</v>
      </c>
      <c r="B64" s="3"/>
      <c r="C64" s="4"/>
      <c r="D64" s="4"/>
      <c r="E64" s="1"/>
      <c r="J64" s="103"/>
    </row>
    <row r="65" spans="1:10" x14ac:dyDescent="0.25">
      <c r="A65" s="3" t="s">
        <v>16</v>
      </c>
      <c r="B65" s="3"/>
      <c r="C65" s="4"/>
      <c r="D65" s="4"/>
      <c r="E65" s="1"/>
      <c r="J65" s="103"/>
    </row>
    <row r="66" spans="1:10" x14ac:dyDescent="0.25">
      <c r="A66" s="3" t="s">
        <v>47</v>
      </c>
      <c r="B66" s="3"/>
      <c r="C66" s="4"/>
      <c r="D66" s="4"/>
      <c r="E66" s="1"/>
      <c r="J66" s="103"/>
    </row>
    <row r="67" spans="1:10" x14ac:dyDescent="0.25">
      <c r="A67" s="20" t="s">
        <v>56</v>
      </c>
      <c r="B67" s="20"/>
      <c r="C67" s="21"/>
      <c r="D67" s="21"/>
      <c r="E67" s="1"/>
      <c r="J67" s="103"/>
    </row>
    <row r="68" spans="1:10" x14ac:dyDescent="0.25">
      <c r="A68" s="3" t="s">
        <v>57</v>
      </c>
      <c r="B68" s="3"/>
      <c r="C68" s="21"/>
      <c r="D68" s="21"/>
      <c r="E68" s="1"/>
      <c r="J68" s="103"/>
    </row>
    <row r="69" spans="1:10" x14ac:dyDescent="0.25">
      <c r="A69" s="3" t="s">
        <v>62</v>
      </c>
      <c r="B69" s="3"/>
      <c r="C69" s="21"/>
      <c r="D69" s="21"/>
      <c r="E69" s="1"/>
      <c r="J69" s="103"/>
    </row>
    <row r="70" spans="1:10" x14ac:dyDescent="0.25">
      <c r="A70" s="3" t="s">
        <v>58</v>
      </c>
      <c r="B70" s="3"/>
      <c r="C70" s="4"/>
      <c r="D70" s="4"/>
      <c r="E70" s="1"/>
    </row>
    <row r="71" spans="1:10" x14ac:dyDescent="0.25">
      <c r="A71" s="3"/>
      <c r="B71" s="3"/>
      <c r="C71" s="4"/>
      <c r="D71" s="4"/>
      <c r="E71" s="1"/>
    </row>
    <row r="72" spans="1:10" x14ac:dyDescent="0.25">
      <c r="A72" s="3"/>
      <c r="B72" s="3"/>
      <c r="C72" s="4"/>
      <c r="D72" s="4"/>
      <c r="E72" s="1"/>
    </row>
    <row r="73" spans="1:10" x14ac:dyDescent="0.25">
      <c r="A73" s="3"/>
      <c r="B73" s="3"/>
      <c r="C73" s="4"/>
      <c r="D73" s="4"/>
      <c r="E73" s="1"/>
    </row>
    <row r="74" spans="1:10" x14ac:dyDescent="0.25">
      <c r="A74" s="3"/>
      <c r="B74" s="3"/>
      <c r="C74" s="4"/>
      <c r="D74" s="4"/>
      <c r="E74" s="1"/>
    </row>
    <row r="75" spans="1:10" x14ac:dyDescent="0.25">
      <c r="A75" s="3"/>
      <c r="B75" s="3"/>
      <c r="C75" s="4"/>
      <c r="D75" s="4"/>
      <c r="E75" s="1"/>
    </row>
    <row r="76" spans="1:10" x14ac:dyDescent="0.25">
      <c r="A76" s="3"/>
      <c r="B76" s="3"/>
      <c r="C76" s="4"/>
      <c r="D76" s="4"/>
      <c r="E76" s="1"/>
    </row>
    <row r="77" spans="1:10" x14ac:dyDescent="0.25">
      <c r="A77" s="3"/>
      <c r="B77" s="3"/>
      <c r="C77" s="4"/>
      <c r="D77" s="4"/>
      <c r="E77" s="1"/>
    </row>
    <row r="78" spans="1:10" x14ac:dyDescent="0.25">
      <c r="A78" s="3"/>
      <c r="B78" s="3"/>
      <c r="C78" s="4"/>
      <c r="D78" s="4"/>
      <c r="E78" s="1"/>
    </row>
    <row r="79" spans="1:10" x14ac:dyDescent="0.25">
      <c r="A79" s="3"/>
      <c r="B79" s="3"/>
      <c r="C79" s="4"/>
      <c r="D79" s="4"/>
      <c r="E79" s="1"/>
    </row>
    <row r="80" spans="1:10" x14ac:dyDescent="0.25">
      <c r="A80" s="3"/>
      <c r="B80" s="3"/>
      <c r="C80" s="4"/>
      <c r="D80" s="4"/>
      <c r="E80" s="1"/>
    </row>
    <row r="81" spans="1:5" x14ac:dyDescent="0.25">
      <c r="A81" s="3"/>
      <c r="B81" s="3"/>
      <c r="C81" s="4"/>
      <c r="D81" s="4"/>
      <c r="E81" s="1"/>
    </row>
    <row r="82" spans="1:5" x14ac:dyDescent="0.25">
      <c r="A82" s="3"/>
      <c r="B82" s="3"/>
      <c r="C82" s="4"/>
      <c r="D82" s="4"/>
      <c r="E82" s="1"/>
    </row>
    <row r="83" spans="1:5" x14ac:dyDescent="0.25">
      <c r="A83" s="3"/>
      <c r="B83" s="3"/>
      <c r="C83" s="4"/>
      <c r="D83" s="4"/>
      <c r="E83" s="1"/>
    </row>
    <row r="84" spans="1:5" x14ac:dyDescent="0.25">
      <c r="A84" s="3"/>
      <c r="B84" s="3"/>
      <c r="C84" s="4"/>
      <c r="D84" s="4"/>
      <c r="E84" s="1"/>
    </row>
    <row r="85" spans="1:5" x14ac:dyDescent="0.25">
      <c r="A85" s="3"/>
      <c r="B85" s="3"/>
      <c r="C85" s="4"/>
      <c r="D85" s="4"/>
      <c r="E85" s="1"/>
    </row>
    <row r="86" spans="1:5" x14ac:dyDescent="0.25">
      <c r="A86" s="3"/>
      <c r="B86" s="3"/>
      <c r="C86" s="4"/>
      <c r="D86" s="4"/>
      <c r="E86" s="1"/>
    </row>
    <row r="87" spans="1:5" x14ac:dyDescent="0.25">
      <c r="A87" s="3"/>
      <c r="B87" s="3"/>
      <c r="C87" s="4"/>
      <c r="D87" s="4"/>
      <c r="E87" s="1"/>
    </row>
    <row r="88" spans="1:5" x14ac:dyDescent="0.25">
      <c r="A88" s="3"/>
      <c r="B88" s="3"/>
      <c r="C88" s="4"/>
      <c r="D88" s="4"/>
      <c r="E88" s="1"/>
    </row>
    <row r="89" spans="1:5" x14ac:dyDescent="0.25">
      <c r="A89" s="3"/>
      <c r="B89" s="3"/>
      <c r="C89" s="4"/>
      <c r="D89" s="4"/>
      <c r="E89" s="1"/>
    </row>
    <row r="90" spans="1:5" x14ac:dyDescent="0.25">
      <c r="A90" s="3"/>
      <c r="B90" s="3"/>
      <c r="C90" s="4"/>
      <c r="D90" s="4"/>
      <c r="E90" s="1"/>
    </row>
    <row r="91" spans="1:5" x14ac:dyDescent="0.25">
      <c r="A91" s="3"/>
      <c r="B91" s="3"/>
      <c r="C91" s="4"/>
      <c r="D91" s="4"/>
      <c r="E91" s="1"/>
    </row>
    <row r="92" spans="1:5" x14ac:dyDescent="0.25">
      <c r="A92" s="3"/>
      <c r="B92" s="3"/>
      <c r="C92" s="4"/>
      <c r="D92" s="4"/>
      <c r="E92" s="1"/>
    </row>
    <row r="93" spans="1:5" x14ac:dyDescent="0.25">
      <c r="A93" s="2"/>
      <c r="B93" s="2"/>
      <c r="C93" s="2"/>
      <c r="D93" s="2"/>
      <c r="E93" s="2"/>
    </row>
    <row r="97" spans="1:4" x14ac:dyDescent="0.25">
      <c r="A97" s="2"/>
      <c r="B97" s="2"/>
      <c r="C97" s="2"/>
      <c r="D97" s="2"/>
    </row>
    <row r="98" spans="1:4" ht="15.75" x14ac:dyDescent="0.25">
      <c r="A98" s="196" t="s">
        <v>49</v>
      </c>
      <c r="B98" s="196"/>
      <c r="C98" s="196"/>
      <c r="D98" s="196"/>
    </row>
    <row r="99" spans="1:4" ht="15.75" x14ac:dyDescent="0.25">
      <c r="A99" s="213" t="s">
        <v>81</v>
      </c>
      <c r="B99" s="213"/>
      <c r="C99" s="213"/>
      <c r="D99" s="213"/>
    </row>
    <row r="100" spans="1:4" ht="3" customHeight="1" x14ac:dyDescent="0.25">
      <c r="A100" s="70"/>
      <c r="B100" s="70"/>
      <c r="C100" s="70"/>
      <c r="D100" s="70"/>
    </row>
    <row r="101" spans="1:4" ht="51.75" x14ac:dyDescent="0.25">
      <c r="A101" s="80" t="s">
        <v>50</v>
      </c>
      <c r="B101" s="7" t="s">
        <v>77</v>
      </c>
      <c r="C101" s="7" t="s">
        <v>78</v>
      </c>
      <c r="D101" s="9" t="s">
        <v>79</v>
      </c>
    </row>
    <row r="102" spans="1:4" ht="3.75" customHeight="1" x14ac:dyDescent="0.25">
      <c r="A102" s="71"/>
      <c r="B102" s="72"/>
      <c r="C102" s="11"/>
      <c r="D102" s="1"/>
    </row>
    <row r="103" spans="1:4" x14ac:dyDescent="0.25">
      <c r="A103" s="73" t="s">
        <v>66</v>
      </c>
      <c r="B103" s="74">
        <f t="shared" ref="B103:C106" si="3">+B56</f>
        <v>811599.56499999994</v>
      </c>
      <c r="C103" s="74">
        <f>+C56</f>
        <v>810599.54500000004</v>
      </c>
      <c r="D103" s="75">
        <f>((C103/B103)-1)</f>
        <v>-1.2321593592770075E-3</v>
      </c>
    </row>
    <row r="104" spans="1:4" x14ac:dyDescent="0.25">
      <c r="A104" s="73" t="s">
        <v>52</v>
      </c>
      <c r="B104" s="76">
        <f t="shared" si="3"/>
        <v>3466091.0603916002</v>
      </c>
      <c r="C104" s="76">
        <f t="shared" si="3"/>
        <v>3480496.02</v>
      </c>
      <c r="D104" s="75">
        <f t="shared" ref="D104" si="4">((C104/B104)-1)</f>
        <v>4.1559668679831407E-3</v>
      </c>
    </row>
    <row r="105" spans="1:4" x14ac:dyDescent="0.25">
      <c r="A105" s="73" t="s">
        <v>53</v>
      </c>
      <c r="B105" s="76">
        <f t="shared" si="3"/>
        <v>1451200</v>
      </c>
      <c r="C105" s="76">
        <f>+C58</f>
        <v>1377600</v>
      </c>
      <c r="D105" s="75">
        <f>((C105/B105)-1)</f>
        <v>-5.0716648291069477E-2</v>
      </c>
    </row>
    <row r="106" spans="1:4" x14ac:dyDescent="0.25">
      <c r="A106" s="73" t="s">
        <v>63</v>
      </c>
      <c r="B106" s="76">
        <f t="shared" si="3"/>
        <v>688623.70421957155</v>
      </c>
      <c r="C106" s="76">
        <f t="shared" si="3"/>
        <v>836463.53390200005</v>
      </c>
      <c r="D106" s="75">
        <f t="shared" ref="D106" si="5">((C106/B106)-1)</f>
        <v>0.21468884788097409</v>
      </c>
    </row>
    <row r="107" spans="1:4" x14ac:dyDescent="0.25">
      <c r="A107" s="73" t="s">
        <v>65</v>
      </c>
      <c r="B107" s="76">
        <f>+B61</f>
        <v>883577.88618000003</v>
      </c>
      <c r="C107" s="76">
        <f>+C61</f>
        <v>993920.70934075001</v>
      </c>
      <c r="D107" s="75">
        <f>((C107/B107)-1)</f>
        <v>0.12488182975900242</v>
      </c>
    </row>
    <row r="108" spans="1:4" x14ac:dyDescent="0.25">
      <c r="A108" s="92" t="s">
        <v>76</v>
      </c>
      <c r="B108" s="93">
        <f>SUM(B103:B107)</f>
        <v>7301092.2157911723</v>
      </c>
      <c r="C108" s="93">
        <f>SUM(C103:C107)</f>
        <v>7499079.8082427504</v>
      </c>
      <c r="D108" s="94">
        <f>((C108/B108)-1)</f>
        <v>2.7117530720042193E-2</v>
      </c>
    </row>
    <row r="109" spans="1:4" x14ac:dyDescent="0.25">
      <c r="A109" s="3" t="s">
        <v>54</v>
      </c>
      <c r="B109" s="3"/>
      <c r="C109" s="4"/>
      <c r="D109" s="4"/>
    </row>
    <row r="110" spans="1:4" x14ac:dyDescent="0.25">
      <c r="A110" s="38" t="s">
        <v>55</v>
      </c>
      <c r="B110" s="3"/>
      <c r="C110" s="4"/>
      <c r="D110" s="4"/>
    </row>
    <row r="111" spans="1:4" x14ac:dyDescent="0.25">
      <c r="A111" s="3" t="s">
        <v>16</v>
      </c>
      <c r="B111" s="3"/>
      <c r="C111" s="4"/>
      <c r="D111" s="4"/>
    </row>
    <row r="112" spans="1:4" x14ac:dyDescent="0.25">
      <c r="A112" s="3" t="s">
        <v>47</v>
      </c>
      <c r="B112" s="3"/>
      <c r="C112" s="4"/>
      <c r="D112" s="4"/>
    </row>
    <row r="113" spans="1:4" x14ac:dyDescent="0.25">
      <c r="A113" s="20" t="s">
        <v>56</v>
      </c>
      <c r="B113" s="20"/>
      <c r="C113" s="21"/>
      <c r="D113" s="21"/>
    </row>
    <row r="114" spans="1:4" x14ac:dyDescent="0.25">
      <c r="A114" s="3" t="s">
        <v>57</v>
      </c>
      <c r="B114" s="3"/>
      <c r="C114" s="21"/>
      <c r="D114" s="21"/>
    </row>
    <row r="115" spans="1:4" x14ac:dyDescent="0.25">
      <c r="A115" s="3" t="s">
        <v>62</v>
      </c>
      <c r="B115" s="3"/>
      <c r="C115" s="21"/>
      <c r="D115" s="21"/>
    </row>
    <row r="116" spans="1:4" x14ac:dyDescent="0.25">
      <c r="A116" s="3" t="s">
        <v>58</v>
      </c>
      <c r="B116" s="3"/>
      <c r="C116" s="4"/>
      <c r="D116" s="4"/>
    </row>
    <row r="117" spans="1:4" x14ac:dyDescent="0.25">
      <c r="B117" s="41"/>
      <c r="C117" s="41"/>
      <c r="D117" s="105"/>
    </row>
    <row r="123" spans="1:4" ht="4.5" customHeight="1" x14ac:dyDescent="0.25"/>
  </sheetData>
  <mergeCells count="8">
    <mergeCell ref="G8:H8"/>
    <mergeCell ref="F6:H6"/>
    <mergeCell ref="A98:D98"/>
    <mergeCell ref="A99:D99"/>
    <mergeCell ref="A3:E3"/>
    <mergeCell ref="A4:E4"/>
    <mergeCell ref="A51:D51"/>
    <mergeCell ref="A52:D52"/>
  </mergeCells>
  <pageMargins left="1.1499999999999999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4:E27"/>
  <sheetViews>
    <sheetView topLeftCell="A4" workbookViewId="0">
      <selection activeCell="G14" sqref="G14"/>
    </sheetView>
  </sheetViews>
  <sheetFormatPr baseColWidth="10" defaultColWidth="9.140625" defaultRowHeight="15" x14ac:dyDescent="0.25"/>
  <cols>
    <col min="4" max="4" width="13.28515625" customWidth="1"/>
    <col min="5" max="5" width="13.42578125" customWidth="1"/>
  </cols>
  <sheetData>
    <row r="4" spans="2:5" ht="16.5" x14ac:dyDescent="0.25">
      <c r="B4" s="194" t="s">
        <v>39</v>
      </c>
      <c r="C4" s="194"/>
      <c r="D4" s="194"/>
      <c r="E4" s="194"/>
    </row>
    <row r="6" spans="2:5" x14ac:dyDescent="0.25">
      <c r="B6" s="195" t="s">
        <v>35</v>
      </c>
      <c r="C6" s="195"/>
      <c r="D6" s="195"/>
      <c r="E6" s="195"/>
    </row>
    <row r="7" spans="2:5" ht="39" x14ac:dyDescent="0.25">
      <c r="B7" s="7" t="s">
        <v>0</v>
      </c>
      <c r="C7" s="34" t="s">
        <v>33</v>
      </c>
      <c r="D7" s="28"/>
      <c r="E7" s="9" t="s">
        <v>34</v>
      </c>
    </row>
    <row r="8" spans="2:5" x14ac:dyDescent="0.25">
      <c r="B8" s="10"/>
      <c r="C8" s="11"/>
      <c r="D8" s="25"/>
      <c r="E8" s="11"/>
    </row>
    <row r="9" spans="2:5" x14ac:dyDescent="0.25">
      <c r="B9" s="13" t="s">
        <v>6</v>
      </c>
      <c r="C9" s="33">
        <v>271.41304000000002</v>
      </c>
      <c r="D9" s="26"/>
      <c r="E9" s="36">
        <v>918033.00280599995</v>
      </c>
    </row>
    <row r="10" spans="2:5" x14ac:dyDescent="0.25">
      <c r="B10" s="13" t="s">
        <v>7</v>
      </c>
      <c r="C10" s="33">
        <v>290.77794</v>
      </c>
      <c r="D10" s="26">
        <v>982267.23948600015</v>
      </c>
      <c r="E10" s="36">
        <v>982267.23948600015</v>
      </c>
    </row>
    <row r="11" spans="2:5" x14ac:dyDescent="0.25">
      <c r="B11" s="13" t="s">
        <v>8</v>
      </c>
      <c r="C11" s="33">
        <v>298.44856110000001</v>
      </c>
      <c r="D11" s="26">
        <v>1253957.8937260006</v>
      </c>
      <c r="E11" s="36">
        <v>1253957.8937260006</v>
      </c>
    </row>
    <row r="12" spans="2:5" x14ac:dyDescent="0.25">
      <c r="B12" s="13" t="s">
        <v>9</v>
      </c>
      <c r="C12" s="33">
        <v>357.36750999999998</v>
      </c>
      <c r="D12" s="26">
        <v>751087.18201999995</v>
      </c>
      <c r="E12" s="36">
        <v>751087.18201999995</v>
      </c>
    </row>
    <row r="13" spans="2:5" x14ac:dyDescent="0.25">
      <c r="B13" s="13" t="s">
        <v>10</v>
      </c>
      <c r="C13" s="33">
        <v>507.76798379999997</v>
      </c>
      <c r="D13" s="26">
        <v>1503788.5076759998</v>
      </c>
      <c r="E13" s="36">
        <v>1503788.5076759998</v>
      </c>
    </row>
    <row r="14" spans="2:5" x14ac:dyDescent="0.25">
      <c r="B14" s="13" t="s">
        <v>11</v>
      </c>
      <c r="C14" s="33">
        <v>405.48359679999999</v>
      </c>
      <c r="D14" s="26">
        <v>1012143.7535199999</v>
      </c>
      <c r="E14" s="36">
        <v>1012143.7535199999</v>
      </c>
    </row>
    <row r="15" spans="2:5" x14ac:dyDescent="0.25">
      <c r="B15" s="13" t="s">
        <v>12</v>
      </c>
      <c r="C15" s="33">
        <v>365.45911000000001</v>
      </c>
      <c r="D15" s="26">
        <v>1098857.0642380002</v>
      </c>
      <c r="E15" s="36">
        <v>1098857.0642380002</v>
      </c>
    </row>
    <row r="16" spans="2:5" x14ac:dyDescent="0.25">
      <c r="B16" s="13" t="s">
        <v>13</v>
      </c>
      <c r="C16" s="33">
        <v>352.34629999999999</v>
      </c>
      <c r="D16" s="26">
        <v>914433.96105200006</v>
      </c>
      <c r="E16" s="36">
        <v>914433.96105200006</v>
      </c>
    </row>
    <row r="17" spans="2:5" x14ac:dyDescent="0.25">
      <c r="B17" s="13" t="s">
        <v>14</v>
      </c>
      <c r="C17" s="33">
        <v>421.73194999999998</v>
      </c>
      <c r="D17" s="26">
        <v>1355009.0701830001</v>
      </c>
      <c r="E17" s="36">
        <v>1355009.0701830001</v>
      </c>
    </row>
    <row r="18" spans="2:5" x14ac:dyDescent="0.25">
      <c r="B18" s="13" t="s">
        <v>22</v>
      </c>
      <c r="C18" s="33">
        <v>628.81443999999999</v>
      </c>
      <c r="D18" s="26">
        <v>1742564.9617389997</v>
      </c>
      <c r="E18" s="36">
        <v>1742564.9617389997</v>
      </c>
    </row>
    <row r="19" spans="2:5" x14ac:dyDescent="0.25">
      <c r="B19" s="13" t="s">
        <v>23</v>
      </c>
      <c r="C19" s="33">
        <v>739.40040319999991</v>
      </c>
      <c r="D19" s="26">
        <v>1980505.3494069993</v>
      </c>
      <c r="E19" s="36">
        <v>1980505.3494069993</v>
      </c>
    </row>
    <row r="20" spans="2:5" x14ac:dyDescent="0.25">
      <c r="B20" s="13" t="s">
        <v>24</v>
      </c>
      <c r="C20" s="33">
        <v>421.72825771818185</v>
      </c>
      <c r="D20" s="26">
        <v>1228422.5441684546</v>
      </c>
      <c r="E20" s="36">
        <v>1228422.5441684546</v>
      </c>
    </row>
    <row r="21" spans="2:5" x14ac:dyDescent="0.25">
      <c r="B21" s="13"/>
      <c r="C21" s="33"/>
      <c r="D21" s="27"/>
      <c r="E21" s="33"/>
    </row>
    <row r="22" spans="2:5" x14ac:dyDescent="0.25">
      <c r="B22" s="16" t="s">
        <v>15</v>
      </c>
      <c r="C22" s="18">
        <v>5060.7390926181824</v>
      </c>
      <c r="D22" s="29">
        <v>13823037.527215455</v>
      </c>
      <c r="E22" s="35">
        <v>14741070.530021455</v>
      </c>
    </row>
    <row r="23" spans="2:5" x14ac:dyDescent="0.25">
      <c r="B23" s="8"/>
      <c r="C23" s="8"/>
      <c r="D23" s="8"/>
      <c r="E23" s="8"/>
    </row>
    <row r="24" spans="2:5" x14ac:dyDescent="0.25">
      <c r="B24" s="31" t="s">
        <v>27</v>
      </c>
    </row>
    <row r="25" spans="2:5" x14ac:dyDescent="0.25">
      <c r="B25" s="37" t="s">
        <v>36</v>
      </c>
      <c r="E25" s="36"/>
    </row>
    <row r="26" spans="2:5" x14ac:dyDescent="0.25">
      <c r="B26" s="38" t="s">
        <v>37</v>
      </c>
    </row>
    <row r="27" spans="2:5" x14ac:dyDescent="0.25">
      <c r="B27" s="38" t="s">
        <v>38</v>
      </c>
    </row>
  </sheetData>
  <mergeCells count="2">
    <mergeCell ref="B4:E4"/>
    <mergeCell ref="B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topLeftCell="A4" workbookViewId="0">
      <selection activeCell="A23" sqref="A23:XFD23"/>
    </sheetView>
  </sheetViews>
  <sheetFormatPr baseColWidth="10" defaultRowHeight="15" x14ac:dyDescent="0.25"/>
  <cols>
    <col min="1" max="1" width="12.7109375" customWidth="1"/>
    <col min="2" max="2" width="10.85546875" customWidth="1"/>
    <col min="3" max="3" width="10.28515625" customWidth="1"/>
    <col min="4" max="4" width="11.28515625" customWidth="1"/>
    <col min="6" max="6" width="10.42578125" customWidth="1"/>
    <col min="9" max="9" width="11.7109375" customWidth="1"/>
    <col min="11" max="11" width="13.85546875" customWidth="1"/>
  </cols>
  <sheetData>
    <row r="1" spans="1:15" s="2" customFormat="1" x14ac:dyDescent="0.25">
      <c r="A1" s="1"/>
      <c r="B1" s="1"/>
      <c r="C1" s="1"/>
      <c r="D1" s="1"/>
      <c r="E1" s="1"/>
      <c r="F1" s="1"/>
      <c r="G1" s="1"/>
    </row>
    <row r="2" spans="1:15" x14ac:dyDescent="0.25">
      <c r="A2" s="1"/>
      <c r="B2" s="3"/>
      <c r="C2" s="4"/>
      <c r="D2" s="4"/>
      <c r="E2" s="5"/>
      <c r="F2" s="5"/>
      <c r="G2" s="5"/>
      <c r="I2" s="2"/>
    </row>
    <row r="3" spans="1:15" ht="31.5" customHeight="1" x14ac:dyDescent="0.25">
      <c r="A3" s="196" t="s">
        <v>46</v>
      </c>
      <c r="B3" s="196"/>
      <c r="C3" s="196"/>
      <c r="D3" s="196"/>
      <c r="E3" s="196"/>
      <c r="F3" s="196"/>
      <c r="G3" s="196"/>
      <c r="H3" s="196"/>
      <c r="I3" s="196"/>
    </row>
    <row r="4" spans="1:15" ht="4.5" customHeight="1" x14ac:dyDescent="0.25">
      <c r="A4" s="6"/>
      <c r="B4" s="6"/>
      <c r="C4" s="6"/>
      <c r="D4" s="6"/>
      <c r="E4" s="6"/>
      <c r="F4" s="6"/>
      <c r="G4" s="6"/>
      <c r="I4" s="2"/>
    </row>
    <row r="5" spans="1:15" ht="21" customHeight="1" x14ac:dyDescent="0.25">
      <c r="A5" s="55"/>
      <c r="B5" s="197">
        <v>2014</v>
      </c>
      <c r="C5" s="198"/>
      <c r="D5" s="199"/>
      <c r="E5" s="197">
        <v>2015</v>
      </c>
      <c r="F5" s="198"/>
      <c r="G5" s="198"/>
      <c r="H5" s="198"/>
      <c r="I5" s="199"/>
    </row>
    <row r="6" spans="1:15" ht="60" customHeight="1" x14ac:dyDescent="0.25">
      <c r="A6" s="56" t="s">
        <v>0</v>
      </c>
      <c r="B6" s="52" t="s">
        <v>1</v>
      </c>
      <c r="C6" s="53" t="s">
        <v>20</v>
      </c>
      <c r="D6" s="54" t="s">
        <v>2</v>
      </c>
      <c r="E6" s="52" t="s">
        <v>1</v>
      </c>
      <c r="F6" s="53" t="s">
        <v>21</v>
      </c>
      <c r="G6" s="53" t="s">
        <v>3</v>
      </c>
      <c r="H6" s="53" t="s">
        <v>4</v>
      </c>
      <c r="I6" s="54" t="s">
        <v>25</v>
      </c>
    </row>
    <row r="7" spans="1:15" s="2" customFormat="1" ht="12" customHeight="1" x14ac:dyDescent="0.25">
      <c r="A7" s="57"/>
      <c r="B7" s="43"/>
      <c r="C7" s="11"/>
      <c r="D7" s="44"/>
      <c r="E7" s="49"/>
      <c r="F7" s="11"/>
      <c r="G7" s="11"/>
      <c r="H7" s="12"/>
      <c r="I7" s="50"/>
    </row>
    <row r="8" spans="1:15" x14ac:dyDescent="0.25">
      <c r="A8" s="58" t="s">
        <v>6</v>
      </c>
      <c r="B8" s="45">
        <v>83450</v>
      </c>
      <c r="C8" s="33">
        <v>17.598776999999998</v>
      </c>
      <c r="D8" s="46">
        <v>140</v>
      </c>
      <c r="E8" s="51">
        <v>81230</v>
      </c>
      <c r="F8" s="33">
        <v>15.378159999999999</v>
      </c>
      <c r="G8" s="33">
        <v>155</v>
      </c>
      <c r="H8" s="42">
        <v>111708.95591</v>
      </c>
      <c r="I8" s="46">
        <v>53.092308000000003</v>
      </c>
      <c r="K8" s="33"/>
    </row>
    <row r="9" spans="1:15" x14ac:dyDescent="0.25">
      <c r="A9" s="58" t="s">
        <v>7</v>
      </c>
      <c r="B9" s="45">
        <v>81680</v>
      </c>
      <c r="C9" s="33">
        <v>14.916618</v>
      </c>
      <c r="D9" s="46">
        <v>138</v>
      </c>
      <c r="E9" s="51">
        <v>81960</v>
      </c>
      <c r="F9" s="33">
        <v>13.573672999999999</v>
      </c>
      <c r="G9" s="33">
        <v>157</v>
      </c>
      <c r="H9" s="42">
        <v>84034.744386000006</v>
      </c>
      <c r="I9" s="46">
        <v>48.736761000000001</v>
      </c>
      <c r="K9" s="15"/>
      <c r="N9" s="15"/>
      <c r="O9" s="15"/>
    </row>
    <row r="10" spans="1:15" x14ac:dyDescent="0.25">
      <c r="A10" s="58" t="s">
        <v>8</v>
      </c>
      <c r="B10" s="45">
        <v>81385</v>
      </c>
      <c r="C10" s="33">
        <v>15.127139</v>
      </c>
      <c r="D10" s="46">
        <v>139</v>
      </c>
      <c r="E10" s="51">
        <v>80420</v>
      </c>
      <c r="F10" s="33">
        <v>14.885819</v>
      </c>
      <c r="G10" s="33">
        <v>148</v>
      </c>
      <c r="H10" s="42">
        <v>76546.203197999988</v>
      </c>
      <c r="I10" s="46">
        <v>54.336863000000001</v>
      </c>
      <c r="K10" s="33"/>
    </row>
    <row r="11" spans="1:15" x14ac:dyDescent="0.25">
      <c r="A11" s="58" t="s">
        <v>9</v>
      </c>
      <c r="B11" s="45">
        <v>80549</v>
      </c>
      <c r="C11" s="33">
        <v>15.963316000000001</v>
      </c>
      <c r="D11" s="46">
        <v>142</v>
      </c>
      <c r="E11" s="51">
        <v>79560</v>
      </c>
      <c r="F11" s="33">
        <v>15.397629999999999</v>
      </c>
      <c r="G11" s="33">
        <v>145</v>
      </c>
      <c r="H11" s="42">
        <v>211311.26273599998</v>
      </c>
      <c r="I11" s="46">
        <v>53.632531</v>
      </c>
      <c r="K11" s="33"/>
    </row>
    <row r="12" spans="1:15" x14ac:dyDescent="0.25">
      <c r="A12" s="58" t="s">
        <v>10</v>
      </c>
      <c r="B12" s="45">
        <v>80342</v>
      </c>
      <c r="C12" s="33">
        <v>15.963316000000001</v>
      </c>
      <c r="D12" s="46">
        <v>140</v>
      </c>
      <c r="E12" s="51">
        <v>81725</v>
      </c>
      <c r="F12" s="33">
        <v>15.171084</v>
      </c>
      <c r="G12" s="33">
        <v>147</v>
      </c>
      <c r="H12" s="42">
        <v>87069.266056000008</v>
      </c>
      <c r="I12" s="46">
        <v>56.447158999999999</v>
      </c>
      <c r="K12" s="33"/>
    </row>
    <row r="13" spans="1:15" x14ac:dyDescent="0.25">
      <c r="A13" s="58" t="s">
        <v>11</v>
      </c>
      <c r="B13" s="45">
        <v>80295</v>
      </c>
      <c r="C13" s="33">
        <v>16.123726999999999</v>
      </c>
      <c r="D13" s="46">
        <v>142</v>
      </c>
      <c r="E13" s="51">
        <v>82055</v>
      </c>
      <c r="F13" s="33">
        <v>15.486700000000001</v>
      </c>
      <c r="G13" s="33">
        <v>155</v>
      </c>
      <c r="H13" s="42">
        <v>117953.26495</v>
      </c>
      <c r="I13" s="46">
        <v>54.385018000000002</v>
      </c>
      <c r="K13" s="33"/>
    </row>
    <row r="14" spans="1:15" x14ac:dyDescent="0.25">
      <c r="A14" s="58" t="s">
        <v>12</v>
      </c>
      <c r="B14" s="45">
        <v>79624</v>
      </c>
      <c r="C14" s="33">
        <v>15.120938000000001</v>
      </c>
      <c r="D14" s="46">
        <v>135</v>
      </c>
      <c r="E14" s="51">
        <v>82340</v>
      </c>
      <c r="F14" s="33">
        <v>15.501747</v>
      </c>
      <c r="G14" s="33">
        <v>145</v>
      </c>
      <c r="H14" s="42">
        <v>205761.77747799997</v>
      </c>
      <c r="I14" s="46">
        <v>56.618668999999997</v>
      </c>
      <c r="K14" s="33"/>
    </row>
    <row r="15" spans="1:15" x14ac:dyDescent="0.25">
      <c r="A15" s="58" t="s">
        <v>13</v>
      </c>
      <c r="B15" s="45">
        <v>78049</v>
      </c>
      <c r="C15" s="33">
        <v>15.422174</v>
      </c>
      <c r="D15" s="46">
        <v>143</v>
      </c>
      <c r="E15" s="51">
        <v>81895</v>
      </c>
      <c r="F15" s="33">
        <v>15.631425999999999</v>
      </c>
      <c r="G15" s="33">
        <v>138</v>
      </c>
      <c r="H15" s="42">
        <v>93068.952680000002</v>
      </c>
      <c r="I15" s="46">
        <v>59.346550999999998</v>
      </c>
      <c r="K15" s="33"/>
    </row>
    <row r="16" spans="1:15" x14ac:dyDescent="0.25">
      <c r="A16" s="58" t="s">
        <v>14</v>
      </c>
      <c r="B16" s="45">
        <v>78000</v>
      </c>
      <c r="C16" s="33">
        <v>14.549314000000001</v>
      </c>
      <c r="D16" s="46">
        <v>145</v>
      </c>
      <c r="E16" s="51">
        <v>81770</v>
      </c>
      <c r="F16" s="33">
        <v>15.155036000000001</v>
      </c>
      <c r="G16" s="33">
        <v>135</v>
      </c>
      <c r="H16" s="42">
        <v>138349.93755199999</v>
      </c>
      <c r="I16" s="46">
        <v>56.210023999999997</v>
      </c>
      <c r="K16" s="33"/>
    </row>
    <row r="17" spans="1:12" x14ac:dyDescent="0.25">
      <c r="A17" s="58" t="s">
        <v>22</v>
      </c>
      <c r="B17" s="45">
        <v>80250</v>
      </c>
      <c r="C17" s="33">
        <v>15.644068000000001</v>
      </c>
      <c r="D17" s="46">
        <f>147000000/1000000</f>
        <v>147</v>
      </c>
      <c r="E17" s="51">
        <f>8145000/100</f>
        <v>81450</v>
      </c>
      <c r="F17" s="33">
        <v>15.83304</v>
      </c>
      <c r="G17" s="33">
        <f>135000/1000</f>
        <v>135</v>
      </c>
      <c r="H17" s="42">
        <v>135408.119312</v>
      </c>
      <c r="I17" s="46">
        <v>54.660898000000003</v>
      </c>
      <c r="K17" s="33"/>
    </row>
    <row r="18" spans="1:12" x14ac:dyDescent="0.25">
      <c r="A18" s="58" t="s">
        <v>23</v>
      </c>
      <c r="B18" s="45">
        <v>80560</v>
      </c>
      <c r="C18" s="33">
        <v>14.776304</v>
      </c>
      <c r="D18" s="46">
        <f>149000000/1000000</f>
        <v>149</v>
      </c>
      <c r="E18" s="51">
        <f>8213000/100</f>
        <v>82130</v>
      </c>
      <c r="F18" s="33">
        <v>14.714891</v>
      </c>
      <c r="G18" s="33">
        <f>140000/1000</f>
        <v>140</v>
      </c>
      <c r="H18" s="42">
        <v>100668.78207599999</v>
      </c>
      <c r="I18" s="46">
        <v>53.649298000000002</v>
      </c>
      <c r="K18" s="33"/>
    </row>
    <row r="19" spans="1:12" x14ac:dyDescent="0.25">
      <c r="A19" s="58" t="s">
        <v>24</v>
      </c>
      <c r="B19" s="45">
        <v>82370</v>
      </c>
      <c r="C19" s="33">
        <v>16.908944999999999</v>
      </c>
      <c r="D19" s="46">
        <f>153000000/1000000</f>
        <v>153</v>
      </c>
      <c r="E19" s="51">
        <v>84300</v>
      </c>
      <c r="F19" s="33">
        <v>16.836655</v>
      </c>
      <c r="G19" s="33">
        <v>145</v>
      </c>
      <c r="H19" s="42">
        <v>113490.096342</v>
      </c>
      <c r="I19" s="46">
        <v>54.642468999999998</v>
      </c>
      <c r="K19" s="33"/>
    </row>
    <row r="20" spans="1:12" ht="7.5" customHeight="1" x14ac:dyDescent="0.25">
      <c r="A20" s="58"/>
      <c r="B20" s="45"/>
      <c r="C20" s="33"/>
      <c r="D20" s="46"/>
      <c r="E20" s="51"/>
      <c r="F20" s="33"/>
      <c r="G20" s="33"/>
      <c r="H20" s="14"/>
      <c r="I20" s="50"/>
    </row>
    <row r="21" spans="1:12" x14ac:dyDescent="0.25">
      <c r="A21" s="59" t="s">
        <v>15</v>
      </c>
      <c r="B21" s="47">
        <f>SUM(B8:B19)</f>
        <v>966554</v>
      </c>
      <c r="C21" s="18">
        <f t="shared" ref="C21:I21" si="0">SUM(C8:C19)</f>
        <v>188.11463599999999</v>
      </c>
      <c r="D21" s="48">
        <f t="shared" si="0"/>
        <v>1713</v>
      </c>
      <c r="E21" s="47">
        <f t="shared" si="0"/>
        <v>980835</v>
      </c>
      <c r="F21" s="18">
        <f t="shared" si="0"/>
        <v>183.56586100000001</v>
      </c>
      <c r="G21" s="17">
        <f t="shared" si="0"/>
        <v>1745</v>
      </c>
      <c r="H21" s="17">
        <f t="shared" si="0"/>
        <v>1475371.362676</v>
      </c>
      <c r="I21" s="48">
        <f t="shared" si="0"/>
        <v>655.75854900000002</v>
      </c>
      <c r="K21" s="41"/>
    </row>
    <row r="22" spans="1:12" ht="4.5" customHeight="1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12" ht="13.5" customHeight="1" x14ac:dyDescent="0.25">
      <c r="A23" s="3" t="s">
        <v>16</v>
      </c>
      <c r="B23" s="3"/>
      <c r="C23" s="4"/>
      <c r="D23" s="4"/>
      <c r="E23" s="19"/>
      <c r="F23" s="1"/>
      <c r="G23" s="1"/>
      <c r="I23" s="2"/>
      <c r="L23" s="40"/>
    </row>
    <row r="24" spans="1:12" x14ac:dyDescent="0.25">
      <c r="A24" s="3" t="s">
        <v>17</v>
      </c>
      <c r="B24" s="3"/>
      <c r="C24" s="4"/>
      <c r="D24" s="4"/>
      <c r="E24" s="1"/>
      <c r="F24" s="1"/>
      <c r="G24" s="1"/>
      <c r="I24" s="2"/>
      <c r="K24" s="40"/>
    </row>
    <row r="25" spans="1:12" x14ac:dyDescent="0.25">
      <c r="A25" s="20" t="s">
        <v>18</v>
      </c>
      <c r="B25" s="20"/>
      <c r="C25" s="21"/>
      <c r="D25" s="21"/>
      <c r="E25" s="1"/>
      <c r="F25" s="1"/>
      <c r="G25" s="1"/>
      <c r="I25" s="2"/>
    </row>
    <row r="26" spans="1:12" ht="10.5" customHeight="1" x14ac:dyDescent="0.25">
      <c r="A26" s="3" t="s">
        <v>19</v>
      </c>
      <c r="B26" s="3"/>
      <c r="C26" s="4"/>
      <c r="D26" s="4"/>
      <c r="E26" s="1"/>
      <c r="F26" s="1"/>
      <c r="G26" s="1"/>
      <c r="I26" s="2"/>
    </row>
    <row r="27" spans="1:12" x14ac:dyDescent="0.25">
      <c r="E27" s="22"/>
      <c r="F27" s="22"/>
      <c r="G27" s="23"/>
      <c r="H27" s="23"/>
      <c r="I27" s="23"/>
      <c r="J27" s="23"/>
      <c r="K27" s="23"/>
    </row>
    <row r="28" spans="1:12" x14ac:dyDescent="0.25">
      <c r="G28" s="14"/>
      <c r="H28" s="14"/>
    </row>
    <row r="29" spans="1:12" x14ac:dyDescent="0.25">
      <c r="G29" s="14"/>
      <c r="H29" s="14"/>
    </row>
    <row r="30" spans="1:12" x14ac:dyDescent="0.25">
      <c r="G30" s="14"/>
      <c r="H30" s="14"/>
    </row>
    <row r="31" spans="1:12" x14ac:dyDescent="0.25">
      <c r="G31" s="14"/>
      <c r="H31" s="14"/>
    </row>
    <row r="32" spans="1:12" x14ac:dyDescent="0.25">
      <c r="G32" s="14"/>
      <c r="H32" s="14"/>
    </row>
    <row r="33" spans="4:8" x14ac:dyDescent="0.25">
      <c r="G33" s="14"/>
      <c r="H33" s="14"/>
    </row>
    <row r="35" spans="4:8" ht="15.75" x14ac:dyDescent="0.25">
      <c r="D35" s="30"/>
    </row>
    <row r="36" spans="4:8" ht="15.75" x14ac:dyDescent="0.25">
      <c r="D36" s="30"/>
    </row>
    <row r="37" spans="4:8" ht="15.75" x14ac:dyDescent="0.25">
      <c r="D37" s="30"/>
    </row>
  </sheetData>
  <mergeCells count="3">
    <mergeCell ref="A3:I3"/>
    <mergeCell ref="B5:D5"/>
    <mergeCell ref="E5:I5"/>
  </mergeCells>
  <pageMargins left="0.57999999999999996" right="0.70866141732283472" top="0.74803149606299213" bottom="0.74803149606299213" header="0.37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7"/>
  <sheetViews>
    <sheetView workbookViewId="0">
      <selection activeCell="K8" sqref="K8:K19"/>
    </sheetView>
  </sheetViews>
  <sheetFormatPr baseColWidth="10" defaultRowHeight="15" x14ac:dyDescent="0.25"/>
  <cols>
    <col min="1" max="1" width="12.7109375" customWidth="1"/>
    <col min="2" max="2" width="10.85546875" customWidth="1"/>
    <col min="3" max="3" width="10.28515625" customWidth="1"/>
    <col min="4" max="7" width="11.28515625" customWidth="1"/>
    <col min="9" max="9" width="10.42578125" customWidth="1"/>
    <col min="11" max="11" width="13.140625" bestFit="1" customWidth="1"/>
    <col min="13" max="13" width="11.7109375" customWidth="1"/>
    <col min="14" max="14" width="18.7109375" customWidth="1"/>
    <col min="15" max="15" width="13.85546875" customWidth="1"/>
    <col min="16" max="16" width="13.140625" bestFit="1" customWidth="1"/>
  </cols>
  <sheetData>
    <row r="1" spans="1:19" s="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9" x14ac:dyDescent="0.25">
      <c r="A2" s="1"/>
      <c r="B2" s="3"/>
      <c r="C2" s="4"/>
      <c r="D2" s="4"/>
      <c r="E2" s="4"/>
      <c r="F2" s="4"/>
      <c r="G2" s="4"/>
      <c r="H2" s="5"/>
      <c r="I2" s="5"/>
      <c r="J2" s="5"/>
      <c r="M2" s="2"/>
    </row>
    <row r="3" spans="1:19" ht="31.5" customHeight="1" x14ac:dyDescent="0.25">
      <c r="A3" s="196" t="s">
        <v>46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</row>
    <row r="4" spans="1:19" ht="4.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M4" s="2"/>
    </row>
    <row r="5" spans="1:19" ht="21" customHeight="1" x14ac:dyDescent="0.25">
      <c r="A5" s="55"/>
      <c r="B5" s="197">
        <v>2014</v>
      </c>
      <c r="C5" s="198"/>
      <c r="D5" s="198"/>
      <c r="E5" s="198"/>
      <c r="F5" s="198"/>
      <c r="G5" s="199"/>
      <c r="H5" s="197">
        <v>2015</v>
      </c>
      <c r="I5" s="198"/>
      <c r="J5" s="198"/>
      <c r="K5" s="198"/>
      <c r="L5" s="198"/>
      <c r="M5" s="199"/>
      <c r="N5" s="197">
        <v>2016</v>
      </c>
      <c r="O5" s="198"/>
      <c r="P5" s="198"/>
      <c r="Q5" s="198"/>
      <c r="R5" s="198"/>
      <c r="S5" s="199"/>
    </row>
    <row r="6" spans="1:19" ht="60" customHeight="1" x14ac:dyDescent="0.25">
      <c r="A6" s="56" t="s">
        <v>0</v>
      </c>
      <c r="B6" s="52" t="s">
        <v>1</v>
      </c>
      <c r="C6" s="53" t="s">
        <v>20</v>
      </c>
      <c r="D6" s="53" t="s">
        <v>2</v>
      </c>
      <c r="E6" s="53" t="s">
        <v>4</v>
      </c>
      <c r="F6" s="53" t="s">
        <v>5</v>
      </c>
      <c r="G6" s="54" t="s">
        <v>25</v>
      </c>
      <c r="H6" s="52" t="s">
        <v>1</v>
      </c>
      <c r="I6" s="53" t="s">
        <v>21</v>
      </c>
      <c r="J6" s="53" t="s">
        <v>3</v>
      </c>
      <c r="K6" s="53" t="s">
        <v>4</v>
      </c>
      <c r="L6" s="53" t="s">
        <v>5</v>
      </c>
      <c r="M6" s="54" t="s">
        <v>25</v>
      </c>
      <c r="N6" s="52" t="s">
        <v>1</v>
      </c>
      <c r="O6" s="53" t="s">
        <v>21</v>
      </c>
      <c r="P6" s="53" t="s">
        <v>3</v>
      </c>
      <c r="Q6" s="53" t="s">
        <v>4</v>
      </c>
      <c r="R6" s="53" t="s">
        <v>5</v>
      </c>
      <c r="S6" s="54" t="s">
        <v>25</v>
      </c>
    </row>
    <row r="7" spans="1:19" s="2" customFormat="1" ht="12" customHeight="1" x14ac:dyDescent="0.25">
      <c r="A7" s="57"/>
      <c r="B7" s="43"/>
      <c r="C7" s="11"/>
      <c r="D7" s="11"/>
      <c r="E7" s="11"/>
      <c r="F7" s="11"/>
      <c r="G7" s="44"/>
      <c r="H7" s="49"/>
      <c r="I7" s="11"/>
      <c r="J7" s="11"/>
      <c r="K7" s="12"/>
      <c r="L7" s="12"/>
      <c r="M7" s="50"/>
      <c r="N7" s="49"/>
      <c r="O7" s="11"/>
      <c r="P7" s="11"/>
      <c r="Q7" s="12"/>
      <c r="R7" s="12"/>
      <c r="S7" s="50"/>
    </row>
    <row r="8" spans="1:19" x14ac:dyDescent="0.25">
      <c r="A8" s="58" t="s">
        <v>6</v>
      </c>
      <c r="B8" s="45">
        <v>83450</v>
      </c>
      <c r="C8" s="33">
        <v>17.598776999999998</v>
      </c>
      <c r="D8" s="33">
        <v>140</v>
      </c>
      <c r="E8" s="36">
        <v>129743.090968</v>
      </c>
      <c r="F8" s="67">
        <v>57.584152000000003</v>
      </c>
      <c r="G8" s="46">
        <v>50.338799999999999</v>
      </c>
      <c r="H8" s="51">
        <v>81230</v>
      </c>
      <c r="I8" s="33">
        <v>17.466552</v>
      </c>
      <c r="J8" s="33">
        <v>155</v>
      </c>
      <c r="K8" s="36">
        <v>111708.95591</v>
      </c>
      <c r="L8" s="36">
        <v>236.11312849237089</v>
      </c>
      <c r="M8" s="46">
        <v>53.092308000000003</v>
      </c>
      <c r="N8" s="51">
        <f>8035000/100</f>
        <v>80350</v>
      </c>
      <c r="O8" s="33">
        <v>16.5603742479</v>
      </c>
      <c r="P8" s="33">
        <v>143</v>
      </c>
      <c r="Q8" s="36">
        <f>(4813731/1000)*22.046</f>
        <v>106123.51362599999</v>
      </c>
      <c r="R8" s="36">
        <f>(18980/1000)*22.046</f>
        <v>418.43308000000002</v>
      </c>
      <c r="S8" s="46">
        <f>47210109/1000000</f>
        <v>47.210109000000003</v>
      </c>
    </row>
    <row r="9" spans="1:19" x14ac:dyDescent="0.25">
      <c r="A9" s="58" t="s">
        <v>7</v>
      </c>
      <c r="B9" s="45">
        <v>81680</v>
      </c>
      <c r="C9" s="33">
        <v>14.916618</v>
      </c>
      <c r="D9" s="33">
        <v>138</v>
      </c>
      <c r="E9" s="36">
        <v>129381.117694</v>
      </c>
      <c r="F9" s="67">
        <v>357.14519999999999</v>
      </c>
      <c r="G9" s="46">
        <v>49.049873469387755</v>
      </c>
      <c r="H9" s="51">
        <v>81960</v>
      </c>
      <c r="I9" s="33">
        <v>15.082482000000001</v>
      </c>
      <c r="J9" s="33">
        <v>157</v>
      </c>
      <c r="K9" s="36">
        <v>84034.744386000006</v>
      </c>
      <c r="L9" s="36">
        <v>1464.4076116295594</v>
      </c>
      <c r="M9" s="46">
        <v>48.736761000000001</v>
      </c>
      <c r="N9" s="51"/>
      <c r="O9" s="33"/>
      <c r="P9" s="33"/>
      <c r="Q9" s="36"/>
      <c r="R9" s="36"/>
      <c r="S9" s="46"/>
    </row>
    <row r="10" spans="1:19" x14ac:dyDescent="0.25">
      <c r="A10" s="58" t="s">
        <v>8</v>
      </c>
      <c r="B10" s="45">
        <v>81385</v>
      </c>
      <c r="C10" s="33">
        <v>15.127139</v>
      </c>
      <c r="D10" s="33">
        <v>139</v>
      </c>
      <c r="E10" s="36">
        <v>136665.71133600001</v>
      </c>
      <c r="F10" s="67">
        <v>416.66939999999994</v>
      </c>
      <c r="G10" s="46">
        <v>55.053975510204083</v>
      </c>
      <c r="H10" s="51">
        <v>80420</v>
      </c>
      <c r="I10" s="33">
        <v>15.968052</v>
      </c>
      <c r="J10" s="33">
        <v>148</v>
      </c>
      <c r="K10" s="36">
        <v>76546.203197999988</v>
      </c>
      <c r="L10" s="36">
        <v>1708.4755469011523</v>
      </c>
      <c r="M10" s="46">
        <v>54.336863000000001</v>
      </c>
      <c r="N10" s="51"/>
      <c r="O10" s="33"/>
      <c r="P10" s="33"/>
      <c r="Q10" s="36"/>
      <c r="R10" s="36"/>
      <c r="S10" s="46"/>
    </row>
    <row r="11" spans="1:19" x14ac:dyDescent="0.25">
      <c r="A11" s="58" t="s">
        <v>9</v>
      </c>
      <c r="B11" s="45">
        <v>80549</v>
      </c>
      <c r="C11" s="33">
        <v>15.963316000000001</v>
      </c>
      <c r="D11" s="33">
        <v>142</v>
      </c>
      <c r="E11" s="36">
        <v>119543.13428599999</v>
      </c>
      <c r="F11" s="67">
        <v>0</v>
      </c>
      <c r="G11" s="46">
        <v>53.93938775510204</v>
      </c>
      <c r="H11" s="51">
        <v>79560</v>
      </c>
      <c r="I11" s="33">
        <v>15.574301757500001</v>
      </c>
      <c r="J11" s="33">
        <v>145</v>
      </c>
      <c r="K11" s="36">
        <v>211311.26273599998</v>
      </c>
      <c r="L11" s="36">
        <v>9417.9488534097072</v>
      </c>
      <c r="M11" s="46">
        <v>53.632531</v>
      </c>
      <c r="N11" s="51"/>
      <c r="O11" s="33"/>
      <c r="P11" s="33"/>
      <c r="Q11" s="36"/>
      <c r="R11" s="36"/>
      <c r="S11" s="46"/>
    </row>
    <row r="12" spans="1:19" x14ac:dyDescent="0.25">
      <c r="A12" s="58" t="s">
        <v>10</v>
      </c>
      <c r="B12" s="45">
        <v>80342</v>
      </c>
      <c r="C12" s="33">
        <v>15.963316000000001</v>
      </c>
      <c r="D12" s="33">
        <v>140</v>
      </c>
      <c r="E12" s="36">
        <v>133133.192572</v>
      </c>
      <c r="F12" s="67">
        <v>0</v>
      </c>
      <c r="G12" s="46">
        <v>55.079222448979593</v>
      </c>
      <c r="H12" s="51">
        <v>81725</v>
      </c>
      <c r="I12" s="33">
        <v>16.013921372999999</v>
      </c>
      <c r="J12" s="33">
        <v>147</v>
      </c>
      <c r="K12" s="36">
        <v>87069.266056000008</v>
      </c>
      <c r="L12" s="36">
        <v>5125.4266407034565</v>
      </c>
      <c r="M12" s="46">
        <v>56.447158999999999</v>
      </c>
      <c r="N12" s="51"/>
      <c r="O12" s="33"/>
      <c r="P12" s="33"/>
      <c r="Q12" s="36"/>
      <c r="R12" s="36"/>
      <c r="S12" s="46"/>
    </row>
    <row r="13" spans="1:19" x14ac:dyDescent="0.25">
      <c r="A13" s="58" t="s">
        <v>11</v>
      </c>
      <c r="B13" s="45">
        <v>80295</v>
      </c>
      <c r="C13" s="33">
        <v>16.123726999999999</v>
      </c>
      <c r="D13" s="33">
        <v>142</v>
      </c>
      <c r="E13" s="36">
        <v>109561.741648</v>
      </c>
      <c r="F13" s="67">
        <v>0</v>
      </c>
      <c r="G13" s="46">
        <v>50.454175510204081</v>
      </c>
      <c r="H13" s="51">
        <v>82055</v>
      </c>
      <c r="I13" s="33">
        <v>16.1749981026</v>
      </c>
      <c r="J13" s="33">
        <v>155</v>
      </c>
      <c r="K13" s="36">
        <v>117953.26495</v>
      </c>
      <c r="L13" s="36">
        <v>3644.8382289207061</v>
      </c>
      <c r="M13" s="46">
        <v>54.385018000000002</v>
      </c>
      <c r="N13" s="51"/>
      <c r="O13" s="33"/>
      <c r="P13" s="33"/>
      <c r="Q13" s="36"/>
      <c r="R13" s="36"/>
      <c r="S13" s="46"/>
    </row>
    <row r="14" spans="1:19" x14ac:dyDescent="0.25">
      <c r="A14" s="58" t="s">
        <v>12</v>
      </c>
      <c r="B14" s="45">
        <v>79624</v>
      </c>
      <c r="C14" s="33">
        <v>15.120938000000001</v>
      </c>
      <c r="D14" s="33">
        <v>135</v>
      </c>
      <c r="E14" s="36">
        <v>142216.65162999998</v>
      </c>
      <c r="F14" s="67">
        <v>0</v>
      </c>
      <c r="G14" s="46">
        <v>51.666885714285719</v>
      </c>
      <c r="H14" s="51">
        <v>82340</v>
      </c>
      <c r="I14" s="33">
        <v>15.673988</v>
      </c>
      <c r="J14" s="33">
        <v>149</v>
      </c>
      <c r="K14" s="36">
        <v>205761.77747799997</v>
      </c>
      <c r="L14" s="36">
        <v>1320.6787164140651</v>
      </c>
      <c r="M14" s="46">
        <v>56.618668999999997</v>
      </c>
      <c r="N14" s="51"/>
      <c r="O14" s="33"/>
      <c r="P14" s="33"/>
      <c r="Q14" s="36"/>
      <c r="R14" s="36"/>
      <c r="S14" s="46"/>
    </row>
    <row r="15" spans="1:19" x14ac:dyDescent="0.25">
      <c r="A15" s="58" t="s">
        <v>13</v>
      </c>
      <c r="B15" s="45">
        <v>78049</v>
      </c>
      <c r="C15" s="33">
        <v>15.422174</v>
      </c>
      <c r="D15" s="33">
        <v>143</v>
      </c>
      <c r="E15" s="36">
        <v>126678.211956</v>
      </c>
      <c r="F15" s="67">
        <v>0</v>
      </c>
      <c r="G15" s="46">
        <v>52.425022448979597</v>
      </c>
      <c r="H15" s="51">
        <v>81895</v>
      </c>
      <c r="I15" s="33">
        <v>15.631425999999999</v>
      </c>
      <c r="J15" s="33">
        <v>140.32499999999999</v>
      </c>
      <c r="K15" s="36">
        <v>93068.952680000002</v>
      </c>
      <c r="L15" s="36">
        <v>1546.2155677113335</v>
      </c>
      <c r="M15" s="46">
        <v>59.346550999999998</v>
      </c>
      <c r="N15" s="51"/>
      <c r="O15" s="33"/>
      <c r="P15" s="33"/>
      <c r="Q15" s="36"/>
      <c r="R15" s="36"/>
      <c r="S15" s="46"/>
    </row>
    <row r="16" spans="1:19" x14ac:dyDescent="0.25">
      <c r="A16" s="58" t="s">
        <v>14</v>
      </c>
      <c r="B16" s="45">
        <v>78000</v>
      </c>
      <c r="C16" s="33">
        <v>14.549314000000001</v>
      </c>
      <c r="D16" s="33">
        <v>145</v>
      </c>
      <c r="E16" s="36">
        <v>135259.46313399999</v>
      </c>
      <c r="F16" s="67">
        <v>0</v>
      </c>
      <c r="G16" s="46">
        <v>50.334561224489796</v>
      </c>
      <c r="H16" s="51">
        <v>81770</v>
      </c>
      <c r="I16" s="33">
        <v>15.155036000000001</v>
      </c>
      <c r="J16" s="33">
        <v>135</v>
      </c>
      <c r="K16" s="36">
        <v>138349.93755199999</v>
      </c>
      <c r="L16" s="36">
        <v>1019.8423873089312</v>
      </c>
      <c r="M16" s="46">
        <v>56.210023999999997</v>
      </c>
      <c r="N16" s="51"/>
      <c r="O16" s="33"/>
      <c r="P16" s="33"/>
      <c r="Q16" s="36"/>
      <c r="R16" s="36"/>
      <c r="S16" s="46"/>
    </row>
    <row r="17" spans="1:19" x14ac:dyDescent="0.25">
      <c r="A17" s="58" t="s">
        <v>22</v>
      </c>
      <c r="B17" s="45">
        <v>80250</v>
      </c>
      <c r="C17" s="33">
        <v>15.644068000000001</v>
      </c>
      <c r="D17" s="33">
        <f>147000000/1000000</f>
        <v>147</v>
      </c>
      <c r="E17" s="36">
        <v>146598.250038</v>
      </c>
      <c r="F17" s="67">
        <v>1201.3085859999999</v>
      </c>
      <c r="G17" s="46">
        <v>52.28049591836735</v>
      </c>
      <c r="H17" s="51">
        <f>8145000/100</f>
        <v>81450</v>
      </c>
      <c r="I17" s="33">
        <v>16.030953485999998</v>
      </c>
      <c r="J17" s="33">
        <v>135</v>
      </c>
      <c r="K17" s="36">
        <v>142351.35269</v>
      </c>
      <c r="L17" s="36">
        <v>1574.2381825017758</v>
      </c>
      <c r="M17" s="46">
        <v>54.660898000000003</v>
      </c>
      <c r="N17" s="51"/>
      <c r="O17" s="33"/>
      <c r="P17" s="33"/>
      <c r="Q17" s="36"/>
      <c r="R17" s="36"/>
      <c r="S17" s="46"/>
    </row>
    <row r="18" spans="1:19" x14ac:dyDescent="0.25">
      <c r="A18" s="58" t="s">
        <v>23</v>
      </c>
      <c r="B18" s="45">
        <v>80560</v>
      </c>
      <c r="C18" s="33">
        <v>14.776304</v>
      </c>
      <c r="D18" s="33">
        <f>149000000/1000000</f>
        <v>149</v>
      </c>
      <c r="E18" s="33"/>
      <c r="F18" s="67">
        <v>1584.0050999999999</v>
      </c>
      <c r="G18" s="46">
        <v>50.808183673469387</v>
      </c>
      <c r="H18" s="51">
        <f>8213000/100</f>
        <v>82130</v>
      </c>
      <c r="I18" s="33">
        <v>16.329441850999999</v>
      </c>
      <c r="J18" s="33">
        <v>140</v>
      </c>
      <c r="K18" s="36">
        <v>146415.77529600001</v>
      </c>
      <c r="L18" s="36">
        <v>4218.3074812773684</v>
      </c>
      <c r="M18" s="46">
        <v>53.649298000000002</v>
      </c>
      <c r="N18" s="51"/>
      <c r="O18" s="33"/>
      <c r="P18" s="33"/>
      <c r="Q18" s="36"/>
      <c r="R18" s="36"/>
      <c r="S18" s="46"/>
    </row>
    <row r="19" spans="1:19" x14ac:dyDescent="0.25">
      <c r="A19" s="58" t="s">
        <v>24</v>
      </c>
      <c r="B19" s="45">
        <v>82370</v>
      </c>
      <c r="C19" s="33">
        <v>16.553296</v>
      </c>
      <c r="D19" s="33">
        <f>153000000/1000000</f>
        <v>153</v>
      </c>
      <c r="E19" s="33"/>
      <c r="F19" s="67">
        <v>0</v>
      </c>
      <c r="G19" s="46">
        <v>52.50178979591837</v>
      </c>
      <c r="H19" s="51">
        <v>84300</v>
      </c>
      <c r="I19" s="33">
        <v>18.649655817499998</v>
      </c>
      <c r="J19" s="33">
        <v>140</v>
      </c>
      <c r="K19" s="36">
        <v>141495.85766000001</v>
      </c>
      <c r="L19" s="36">
        <v>4566.445604729568</v>
      </c>
      <c r="M19" s="46">
        <v>54.642468999999998</v>
      </c>
      <c r="N19" s="51"/>
      <c r="O19" s="33"/>
      <c r="P19" s="33"/>
      <c r="Q19" s="36"/>
      <c r="R19" s="36"/>
      <c r="S19" s="46"/>
    </row>
    <row r="20" spans="1:19" ht="7.5" customHeight="1" x14ac:dyDescent="0.25">
      <c r="A20" s="58"/>
      <c r="B20" s="63"/>
      <c r="C20" s="64"/>
      <c r="D20" s="64"/>
      <c r="E20" s="64"/>
      <c r="F20" s="64"/>
      <c r="G20" s="65"/>
      <c r="H20" s="51"/>
      <c r="I20" s="33"/>
      <c r="J20" s="33"/>
      <c r="K20" s="14"/>
      <c r="L20" s="14"/>
      <c r="M20" s="50"/>
      <c r="N20" s="51"/>
      <c r="O20" s="33"/>
      <c r="P20" s="33"/>
      <c r="Q20" s="14"/>
      <c r="R20" s="14"/>
      <c r="S20" s="50"/>
    </row>
    <row r="21" spans="1:19" x14ac:dyDescent="0.25">
      <c r="A21" s="59" t="s">
        <v>15</v>
      </c>
      <c r="B21" s="47">
        <f>SUM(B8:B19)</f>
        <v>966554</v>
      </c>
      <c r="C21" s="18">
        <f t="shared" ref="C21:L21" si="0">SUM(C8:C19)</f>
        <v>187.75898699999999</v>
      </c>
      <c r="D21" s="18">
        <f t="shared" si="0"/>
        <v>1713</v>
      </c>
      <c r="E21" s="66">
        <f t="shared" si="0"/>
        <v>1308780.5652620001</v>
      </c>
      <c r="F21" s="66">
        <f t="shared" si="0"/>
        <v>3616.7124379999996</v>
      </c>
      <c r="G21" s="18">
        <f t="shared" si="0"/>
        <v>623.9323734693877</v>
      </c>
      <c r="H21" s="47">
        <f t="shared" si="0"/>
        <v>980835</v>
      </c>
      <c r="I21" s="18">
        <f t="shared" si="0"/>
        <v>193.75080838759999</v>
      </c>
      <c r="J21" s="18">
        <f t="shared" si="0"/>
        <v>1746.325</v>
      </c>
      <c r="K21" s="62">
        <f t="shared" si="0"/>
        <v>1556067.3505920002</v>
      </c>
      <c r="L21" s="62">
        <f t="shared" si="0"/>
        <v>35842.93795</v>
      </c>
      <c r="M21" s="48">
        <f>SUM(M8:M19)</f>
        <v>655.75854900000002</v>
      </c>
      <c r="N21" s="47">
        <f t="shared" ref="N21:R21" si="1">SUM(N8:N19)</f>
        <v>80350</v>
      </c>
      <c r="O21" s="18">
        <f t="shared" si="1"/>
        <v>16.5603742479</v>
      </c>
      <c r="P21" s="18">
        <f t="shared" si="1"/>
        <v>143</v>
      </c>
      <c r="Q21" s="62">
        <f t="shared" si="1"/>
        <v>106123.51362599999</v>
      </c>
      <c r="R21" s="62">
        <f t="shared" si="1"/>
        <v>418.43308000000002</v>
      </c>
      <c r="S21" s="48">
        <f>SUM(S8:S19)</f>
        <v>47.210109000000003</v>
      </c>
    </row>
    <row r="22" spans="1:19" ht="4.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ht="13.5" customHeight="1" x14ac:dyDescent="0.25">
      <c r="A23" s="3" t="s">
        <v>16</v>
      </c>
      <c r="B23" s="3"/>
      <c r="C23" s="4"/>
      <c r="D23" s="4"/>
      <c r="E23" s="4"/>
      <c r="F23" s="4"/>
      <c r="G23" s="4"/>
      <c r="H23" s="19"/>
      <c r="I23" s="1"/>
      <c r="J23" s="1"/>
      <c r="M23" s="2"/>
      <c r="P23" s="40"/>
    </row>
    <row r="24" spans="1:19" x14ac:dyDescent="0.25">
      <c r="A24" s="3" t="s">
        <v>47</v>
      </c>
      <c r="B24" s="3"/>
      <c r="C24" s="4"/>
      <c r="D24" s="4"/>
      <c r="E24" s="4"/>
      <c r="F24" s="4"/>
      <c r="G24" s="4"/>
      <c r="H24" s="1"/>
      <c r="I24" s="1"/>
      <c r="J24" s="1"/>
      <c r="K24" s="41"/>
      <c r="M24" s="2"/>
      <c r="O24" s="40"/>
    </row>
    <row r="25" spans="1:19" x14ac:dyDescent="0.25">
      <c r="A25" s="3" t="s">
        <v>48</v>
      </c>
      <c r="B25" s="3"/>
      <c r="C25" s="4"/>
      <c r="D25" s="4"/>
      <c r="E25" s="4"/>
      <c r="F25" s="4"/>
      <c r="G25" s="4"/>
      <c r="H25" s="1"/>
      <c r="I25" s="1"/>
      <c r="J25" s="1"/>
      <c r="K25" s="2"/>
      <c r="L25" s="2"/>
      <c r="M25" s="2"/>
      <c r="O25" s="40"/>
    </row>
    <row r="26" spans="1:19" x14ac:dyDescent="0.25">
      <c r="A26" s="20" t="s">
        <v>18</v>
      </c>
      <c r="B26" s="20"/>
      <c r="C26" s="21"/>
      <c r="D26" s="21"/>
      <c r="E26" s="21"/>
      <c r="F26" s="21"/>
      <c r="G26" s="21"/>
      <c r="H26" s="1"/>
      <c r="I26" s="1"/>
      <c r="J26" s="1"/>
      <c r="M26" s="39"/>
      <c r="N26" s="41"/>
      <c r="O26" s="61"/>
      <c r="P26" s="61"/>
    </row>
    <row r="27" spans="1:19" ht="10.5" customHeight="1" x14ac:dyDescent="0.25">
      <c r="A27" s="3" t="s">
        <v>19</v>
      </c>
      <c r="B27" s="3"/>
      <c r="C27" s="4"/>
      <c r="D27" s="4"/>
      <c r="E27" s="4"/>
      <c r="F27" s="4"/>
      <c r="G27" s="4"/>
      <c r="H27" s="1"/>
      <c r="I27" s="1"/>
      <c r="J27" s="1"/>
      <c r="M27" s="2"/>
    </row>
    <row r="28" spans="1:19" x14ac:dyDescent="0.25">
      <c r="J28" s="14"/>
      <c r="K28" s="14"/>
      <c r="L28" s="14"/>
    </row>
    <row r="29" spans="1:19" x14ac:dyDescent="0.25">
      <c r="H29" s="68"/>
      <c r="J29" s="14"/>
      <c r="K29" s="14"/>
      <c r="L29" s="14"/>
      <c r="P29" s="61"/>
    </row>
    <row r="30" spans="1:19" x14ac:dyDescent="0.25">
      <c r="J30" s="14"/>
      <c r="K30" s="14"/>
      <c r="L30" s="14"/>
    </row>
    <row r="31" spans="1:19" x14ac:dyDescent="0.25">
      <c r="J31" s="14"/>
      <c r="K31" s="14"/>
      <c r="L31" s="14"/>
    </row>
    <row r="32" spans="1:19" x14ac:dyDescent="0.25">
      <c r="J32" s="14"/>
      <c r="K32" s="14"/>
      <c r="L32" s="14"/>
    </row>
    <row r="33" spans="4:12" x14ac:dyDescent="0.25">
      <c r="J33" s="14"/>
      <c r="K33" s="14"/>
      <c r="L33" s="14"/>
    </row>
    <row r="35" spans="4:12" ht="15.75" x14ac:dyDescent="0.25">
      <c r="D35" s="30"/>
      <c r="E35" s="30"/>
      <c r="F35" s="30"/>
      <c r="G35" s="30"/>
    </row>
    <row r="36" spans="4:12" ht="15.75" x14ac:dyDescent="0.25">
      <c r="D36" s="30"/>
      <c r="E36" s="30"/>
      <c r="F36" s="30"/>
      <c r="G36" s="30"/>
    </row>
    <row r="37" spans="4:12" ht="15.75" x14ac:dyDescent="0.25">
      <c r="D37" s="30"/>
      <c r="E37" s="30"/>
      <c r="F37" s="30"/>
      <c r="G37" s="30"/>
    </row>
  </sheetData>
  <mergeCells count="4">
    <mergeCell ref="A3:S3"/>
    <mergeCell ref="B5:G5"/>
    <mergeCell ref="H5:M5"/>
    <mergeCell ref="N5:S5"/>
  </mergeCells>
  <pageMargins left="0.57999999999999996" right="0.70866141732283472" top="0.74803149606299213" bottom="0.74803149606299213" header="0.37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  <pageSetUpPr fitToPage="1"/>
  </sheetPr>
  <dimension ref="A2:Q36"/>
  <sheetViews>
    <sheetView workbookViewId="0">
      <selection activeCell="Q17" sqref="Q17"/>
    </sheetView>
  </sheetViews>
  <sheetFormatPr baseColWidth="10" defaultRowHeight="15" x14ac:dyDescent="0.25"/>
  <cols>
    <col min="1" max="1" width="12.7109375" customWidth="1"/>
    <col min="2" max="2" width="12.42578125" customWidth="1"/>
    <col min="3" max="3" width="10.42578125" customWidth="1"/>
    <col min="4" max="4" width="12" customWidth="1"/>
    <col min="5" max="5" width="10.140625" customWidth="1"/>
    <col min="6" max="6" width="10.85546875" customWidth="1"/>
    <col min="7" max="7" width="10.7109375" customWidth="1"/>
    <col min="8" max="8" width="9.5703125" customWidth="1"/>
    <col min="9" max="9" width="11.140625" customWidth="1"/>
    <col min="10" max="10" width="11.85546875" customWidth="1"/>
    <col min="11" max="11" width="11.28515625" customWidth="1"/>
    <col min="12" max="12" width="9.7109375" customWidth="1"/>
    <col min="13" max="13" width="11" customWidth="1"/>
    <col min="14" max="14" width="5.7109375" customWidth="1"/>
    <col min="15" max="15" width="4.28515625" customWidth="1"/>
    <col min="16" max="16" width="5.85546875" customWidth="1"/>
    <col min="17" max="17" width="13.140625" customWidth="1"/>
  </cols>
  <sheetData>
    <row r="2" spans="1:17" s="2" customFormat="1" x14ac:dyDescent="0.25">
      <c r="A2" s="1"/>
      <c r="B2" s="1"/>
      <c r="C2" s="1"/>
      <c r="D2" s="1"/>
    </row>
    <row r="3" spans="1:17" x14ac:dyDescent="0.25">
      <c r="A3" s="1"/>
      <c r="B3" s="1"/>
      <c r="C3" s="1"/>
      <c r="D3" s="1"/>
      <c r="E3" s="2"/>
      <c r="F3" s="2"/>
      <c r="G3" s="2"/>
      <c r="H3" s="2"/>
      <c r="I3" s="2"/>
      <c r="J3" s="2"/>
      <c r="K3" s="2"/>
      <c r="L3" s="2"/>
      <c r="M3" s="2"/>
    </row>
    <row r="4" spans="1:17" ht="39" customHeight="1" x14ac:dyDescent="0.25">
      <c r="A4" s="200" t="s">
        <v>88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</row>
    <row r="5" spans="1:17" ht="4.5" customHeight="1" x14ac:dyDescent="0.25">
      <c r="A5" s="81"/>
      <c r="B5" s="81"/>
      <c r="C5" s="81"/>
      <c r="D5" s="81"/>
      <c r="E5" s="2"/>
      <c r="F5" s="2"/>
      <c r="G5" s="2"/>
      <c r="H5" s="2"/>
      <c r="I5" s="2"/>
      <c r="J5" s="2"/>
      <c r="K5" s="2"/>
      <c r="L5" s="2"/>
      <c r="M5" s="2"/>
    </row>
    <row r="6" spans="1:17" ht="21" customHeight="1" x14ac:dyDescent="0.25">
      <c r="A6" s="69"/>
      <c r="B6" s="198">
        <v>2015</v>
      </c>
      <c r="C6" s="198"/>
      <c r="D6" s="198"/>
      <c r="E6" s="198"/>
      <c r="F6" s="198"/>
      <c r="G6" s="199"/>
      <c r="H6" s="198" t="s">
        <v>67</v>
      </c>
      <c r="I6" s="198"/>
      <c r="J6" s="198"/>
      <c r="K6" s="198"/>
      <c r="L6" s="198"/>
      <c r="M6" s="199"/>
    </row>
    <row r="7" spans="1:17" ht="39.75" customHeight="1" x14ac:dyDescent="0.25">
      <c r="A7" s="85" t="s">
        <v>0</v>
      </c>
      <c r="B7" s="86" t="s">
        <v>72</v>
      </c>
      <c r="C7" s="86" t="s">
        <v>74</v>
      </c>
      <c r="D7" s="86" t="s">
        <v>68</v>
      </c>
      <c r="E7" s="86" t="s">
        <v>69</v>
      </c>
      <c r="F7" s="86" t="s">
        <v>70</v>
      </c>
      <c r="G7" s="87" t="s">
        <v>71</v>
      </c>
      <c r="H7" s="86" t="s">
        <v>72</v>
      </c>
      <c r="I7" s="86" t="s">
        <v>74</v>
      </c>
      <c r="J7" s="86" t="s">
        <v>68</v>
      </c>
      <c r="K7" s="86" t="s">
        <v>69</v>
      </c>
      <c r="L7" s="86" t="s">
        <v>70</v>
      </c>
      <c r="M7" s="87" t="s">
        <v>73</v>
      </c>
    </row>
    <row r="8" spans="1:17" s="2" customFormat="1" ht="12" customHeight="1" x14ac:dyDescent="0.25">
      <c r="A8" s="83"/>
      <c r="B8" s="11"/>
      <c r="C8" s="11"/>
      <c r="D8" s="11"/>
      <c r="E8" s="12"/>
      <c r="F8" s="12"/>
      <c r="G8" s="50"/>
      <c r="H8" s="11"/>
      <c r="I8" s="11"/>
      <c r="J8" s="11"/>
      <c r="K8" s="12"/>
      <c r="L8" s="12"/>
      <c r="M8" s="50"/>
    </row>
    <row r="9" spans="1:17" x14ac:dyDescent="0.25">
      <c r="A9" s="82" t="s">
        <v>6</v>
      </c>
      <c r="B9" s="14">
        <v>8123000</v>
      </c>
      <c r="C9" s="14">
        <v>17466552</v>
      </c>
      <c r="D9" s="14">
        <v>155000000</v>
      </c>
      <c r="E9" s="14">
        <v>7795516</v>
      </c>
      <c r="F9" s="14">
        <v>6530</v>
      </c>
      <c r="G9" s="88">
        <v>53092308.159999996</v>
      </c>
      <c r="H9" s="14">
        <v>8035000</v>
      </c>
      <c r="I9" s="14">
        <v>16133439</v>
      </c>
      <c r="J9" s="14">
        <v>143000000</v>
      </c>
      <c r="K9" s="14">
        <v>3782485</v>
      </c>
      <c r="L9" s="14">
        <v>47450</v>
      </c>
      <c r="M9" s="88">
        <v>56078641</v>
      </c>
      <c r="Q9" s="41"/>
    </row>
    <row r="10" spans="1:17" x14ac:dyDescent="0.25">
      <c r="A10" s="82" t="s">
        <v>7</v>
      </c>
      <c r="B10" s="14">
        <v>8196000</v>
      </c>
      <c r="C10" s="14">
        <v>15082482</v>
      </c>
      <c r="D10" s="14">
        <v>157000000</v>
      </c>
      <c r="E10" s="14">
        <v>5864294</v>
      </c>
      <c r="F10" s="14">
        <v>40500</v>
      </c>
      <c r="G10" s="88">
        <v>48736761.219999999</v>
      </c>
      <c r="H10" s="14">
        <v>8026000</v>
      </c>
      <c r="I10" s="14">
        <v>15504542</v>
      </c>
      <c r="J10" s="14">
        <v>145000000</v>
      </c>
      <c r="K10" s="14">
        <v>5274390</v>
      </c>
      <c r="L10" s="14">
        <v>43910</v>
      </c>
      <c r="M10" s="88">
        <v>56157257</v>
      </c>
      <c r="Q10" s="41"/>
    </row>
    <row r="11" spans="1:17" x14ac:dyDescent="0.25">
      <c r="A11" s="82" t="s">
        <v>8</v>
      </c>
      <c r="B11" s="14">
        <v>8042000</v>
      </c>
      <c r="C11" s="14">
        <v>15968052</v>
      </c>
      <c r="D11" s="14">
        <v>148000000</v>
      </c>
      <c r="E11" s="14">
        <v>5341712</v>
      </c>
      <c r="F11" s="14">
        <v>47250</v>
      </c>
      <c r="G11" s="88">
        <v>54336863.270000003</v>
      </c>
      <c r="H11" s="14">
        <v>8019000</v>
      </c>
      <c r="I11" s="14">
        <v>16334494</v>
      </c>
      <c r="J11" s="14">
        <v>142000000</v>
      </c>
      <c r="K11" s="14">
        <v>4524955</v>
      </c>
      <c r="L11" s="14">
        <v>121123</v>
      </c>
      <c r="M11" s="88">
        <v>60777967</v>
      </c>
      <c r="Q11" s="41"/>
    </row>
    <row r="12" spans="1:17" x14ac:dyDescent="0.25">
      <c r="A12" s="82" t="s">
        <v>9</v>
      </c>
      <c r="B12" s="14">
        <v>7956000</v>
      </c>
      <c r="C12" s="14">
        <v>15574301.7575</v>
      </c>
      <c r="D12" s="14">
        <v>145000000</v>
      </c>
      <c r="E12" s="14">
        <v>9640312</v>
      </c>
      <c r="F12" s="14">
        <v>260465</v>
      </c>
      <c r="G12" s="88">
        <v>53632530.609999999</v>
      </c>
      <c r="H12" s="14">
        <v>8150000</v>
      </c>
      <c r="I12" s="14">
        <v>15880327</v>
      </c>
      <c r="J12" s="14">
        <v>138000000</v>
      </c>
      <c r="K12" s="14">
        <v>7690229</v>
      </c>
      <c r="L12" s="14">
        <v>115950</v>
      </c>
      <c r="M12" s="88">
        <v>62979857</v>
      </c>
    </row>
    <row r="13" spans="1:17" x14ac:dyDescent="0.25">
      <c r="A13" s="82" t="s">
        <v>10</v>
      </c>
      <c r="B13" s="14">
        <v>8172500</v>
      </c>
      <c r="C13" s="14">
        <v>16013921.372999998</v>
      </c>
      <c r="D13" s="14">
        <v>147000000</v>
      </c>
      <c r="E13" s="14">
        <v>6076055</v>
      </c>
      <c r="F13" s="14">
        <v>141750</v>
      </c>
      <c r="G13" s="88">
        <v>56447159.18</v>
      </c>
      <c r="H13" s="14">
        <v>8260000</v>
      </c>
      <c r="I13" s="14">
        <v>16328655</v>
      </c>
      <c r="J13" s="14">
        <v>147000000</v>
      </c>
      <c r="K13" s="14">
        <v>9267286</v>
      </c>
      <c r="L13" s="14">
        <v>57800</v>
      </c>
      <c r="M13" s="88">
        <v>63198941</v>
      </c>
    </row>
    <row r="14" spans="1:17" s="2" customFormat="1" x14ac:dyDescent="0.25">
      <c r="A14" s="82" t="s">
        <v>11</v>
      </c>
      <c r="B14" s="14">
        <v>8205500</v>
      </c>
      <c r="C14" s="14">
        <v>16174998.102600001</v>
      </c>
      <c r="D14" s="14">
        <v>155000000</v>
      </c>
      <c r="E14" s="14">
        <v>8231269</v>
      </c>
      <c r="F14" s="14">
        <v>100803</v>
      </c>
      <c r="G14" s="88">
        <v>54385018.369999997</v>
      </c>
      <c r="H14" s="14">
        <f>81450*100</f>
        <v>8145000</v>
      </c>
      <c r="I14" s="14">
        <v>16498988</v>
      </c>
      <c r="J14" s="14">
        <v>146000000</v>
      </c>
      <c r="K14" s="14">
        <v>7402392</v>
      </c>
      <c r="L14" s="14">
        <v>164068</v>
      </c>
      <c r="M14" s="88">
        <v>61478918</v>
      </c>
    </row>
    <row r="15" spans="1:17" x14ac:dyDescent="0.25">
      <c r="A15" s="82" t="s">
        <v>12</v>
      </c>
      <c r="B15" s="14">
        <v>8223213</v>
      </c>
      <c r="C15" s="14">
        <v>15673988</v>
      </c>
      <c r="D15" s="14">
        <v>149000000</v>
      </c>
      <c r="E15" s="14">
        <v>6165702</v>
      </c>
      <c r="F15" s="14">
        <v>36525</v>
      </c>
      <c r="G15" s="88">
        <v>56618669.390000001</v>
      </c>
      <c r="H15" s="14">
        <v>8341000</v>
      </c>
      <c r="I15" s="14">
        <v>17532091</v>
      </c>
      <c r="J15" s="14">
        <v>140000000</v>
      </c>
      <c r="K15" s="14">
        <v>8096092</v>
      </c>
      <c r="L15" s="14">
        <v>12288</v>
      </c>
      <c r="M15" s="88">
        <v>67839135</v>
      </c>
    </row>
    <row r="16" spans="1:17" x14ac:dyDescent="0.25">
      <c r="A16" s="82" t="s">
        <v>13</v>
      </c>
      <c r="B16" s="14">
        <v>8189500</v>
      </c>
      <c r="C16" s="14">
        <v>15631426</v>
      </c>
      <c r="D16" s="14">
        <v>140325000</v>
      </c>
      <c r="E16" s="14">
        <v>6494739</v>
      </c>
      <c r="F16" s="14">
        <v>42763</v>
      </c>
      <c r="G16" s="88">
        <v>56210022.450000003</v>
      </c>
      <c r="H16" s="14">
        <v>8341000</v>
      </c>
      <c r="I16" s="14">
        <v>17534091</v>
      </c>
      <c r="J16" s="14">
        <v>138000000</v>
      </c>
      <c r="K16" s="14">
        <v>8096092</v>
      </c>
      <c r="L16" s="14">
        <v>12288</v>
      </c>
      <c r="M16" s="88">
        <v>67839135</v>
      </c>
    </row>
    <row r="17" spans="1:17" x14ac:dyDescent="0.25">
      <c r="A17" s="82" t="s">
        <v>14</v>
      </c>
      <c r="B17" s="14">
        <v>8177000</v>
      </c>
      <c r="C17" s="14">
        <v>15155036</v>
      </c>
      <c r="D17" s="14">
        <v>135000000</v>
      </c>
      <c r="E17" s="14">
        <v>9654634</v>
      </c>
      <c r="F17" s="14">
        <v>28205</v>
      </c>
      <c r="G17" s="88">
        <v>59346551.020000003</v>
      </c>
      <c r="H17" s="14"/>
      <c r="I17" s="33"/>
      <c r="J17" s="33"/>
      <c r="K17" s="36"/>
      <c r="L17" s="36"/>
      <c r="M17" s="46"/>
    </row>
    <row r="18" spans="1:17" x14ac:dyDescent="0.25">
      <c r="A18" s="82" t="s">
        <v>22</v>
      </c>
      <c r="B18" s="14">
        <v>8145000</v>
      </c>
      <c r="C18" s="14">
        <v>16030953.485999998</v>
      </c>
      <c r="D18" s="14">
        <v>135000000</v>
      </c>
      <c r="E18" s="14">
        <v>9933869</v>
      </c>
      <c r="F18" s="14">
        <v>43538</v>
      </c>
      <c r="G18" s="88">
        <v>54660897.960000001</v>
      </c>
      <c r="H18" s="14"/>
      <c r="I18" s="33"/>
      <c r="J18" s="33"/>
      <c r="K18" s="36"/>
      <c r="L18" s="36"/>
      <c r="M18" s="46"/>
    </row>
    <row r="19" spans="1:17" x14ac:dyDescent="0.25">
      <c r="A19" s="82" t="s">
        <v>23</v>
      </c>
      <c r="B19" s="14">
        <v>8213000</v>
      </c>
      <c r="C19" s="14">
        <v>16329441.850999998</v>
      </c>
      <c r="D19" s="14">
        <v>140000000</v>
      </c>
      <c r="E19" s="14">
        <v>10217502</v>
      </c>
      <c r="F19" s="14">
        <v>116663</v>
      </c>
      <c r="G19" s="88">
        <v>53649297.960000001</v>
      </c>
      <c r="H19" s="14"/>
      <c r="I19" s="33"/>
      <c r="J19" s="33"/>
      <c r="K19" s="36"/>
      <c r="L19" s="36"/>
      <c r="M19" s="46"/>
    </row>
    <row r="20" spans="1:17" x14ac:dyDescent="0.25">
      <c r="A20" s="82" t="s">
        <v>24</v>
      </c>
      <c r="B20" s="14">
        <v>8430000</v>
      </c>
      <c r="C20" s="14">
        <v>18649655.817499999</v>
      </c>
      <c r="D20" s="14">
        <v>140000000</v>
      </c>
      <c r="E20" s="14">
        <v>9874169</v>
      </c>
      <c r="F20" s="14">
        <v>125555</v>
      </c>
      <c r="G20" s="88">
        <v>54642469.390000001</v>
      </c>
      <c r="H20" s="14"/>
      <c r="I20" s="33"/>
      <c r="J20" s="33"/>
      <c r="K20" s="36"/>
      <c r="L20" s="36"/>
      <c r="M20" s="46"/>
    </row>
    <row r="21" spans="1:17" ht="7.5" customHeight="1" x14ac:dyDescent="0.25">
      <c r="A21" s="82"/>
      <c r="B21" s="14"/>
      <c r="C21" s="33"/>
      <c r="D21" s="33"/>
      <c r="E21" s="14"/>
      <c r="F21" s="14"/>
      <c r="G21" s="50"/>
      <c r="H21" s="14"/>
      <c r="I21" s="33"/>
      <c r="J21" s="33"/>
      <c r="K21" s="14"/>
      <c r="L21" s="14"/>
      <c r="M21" s="50"/>
    </row>
    <row r="22" spans="1:17" x14ac:dyDescent="0.25">
      <c r="A22" s="84" t="s">
        <v>15</v>
      </c>
      <c r="B22" s="17">
        <f t="shared" ref="B22:G22" si="0">+B9+B10+B11+B12+B13+B14+B15+B16+B17+B18+B19+B20</f>
        <v>98072713</v>
      </c>
      <c r="C22" s="17">
        <f t="shared" si="0"/>
        <v>193750808.3876</v>
      </c>
      <c r="D22" s="17">
        <f t="shared" si="0"/>
        <v>1746325000</v>
      </c>
      <c r="E22" s="17">
        <f t="shared" si="0"/>
        <v>95289773</v>
      </c>
      <c r="F22" s="17">
        <f>+F9+F10+F11+F12+F13+F14+F15+F16+F17+F18+F19+F20</f>
        <v>990547</v>
      </c>
      <c r="G22" s="79">
        <f t="shared" si="0"/>
        <v>655758548.98000002</v>
      </c>
      <c r="H22" s="17">
        <f t="shared" ref="H22:M22" si="1">SUM(H9:H20)</f>
        <v>65317000</v>
      </c>
      <c r="I22" s="90">
        <f t="shared" si="1"/>
        <v>131746627</v>
      </c>
      <c r="J22" s="90">
        <f t="shared" si="1"/>
        <v>1139000000</v>
      </c>
      <c r="K22" s="17">
        <f t="shared" si="1"/>
        <v>54133921</v>
      </c>
      <c r="L22" s="17">
        <f t="shared" si="1"/>
        <v>574877</v>
      </c>
      <c r="M22" s="89">
        <f t="shared" si="1"/>
        <v>496349851</v>
      </c>
      <c r="Q22" s="61"/>
    </row>
    <row r="23" spans="1:17" ht="4.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7" s="2" customFormat="1" ht="11.25" customHeight="1" x14ac:dyDescent="0.25">
      <c r="A24" s="31" t="s">
        <v>55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7" ht="13.5" customHeight="1" x14ac:dyDescent="0.25">
      <c r="A25" s="3" t="s">
        <v>16</v>
      </c>
      <c r="B25" s="19"/>
      <c r="C25" s="1"/>
      <c r="D25" s="1"/>
      <c r="G25" s="2"/>
      <c r="J25" s="40"/>
    </row>
    <row r="26" spans="1:17" x14ac:dyDescent="0.25">
      <c r="A26" s="3" t="s">
        <v>47</v>
      </c>
      <c r="B26" s="1"/>
      <c r="C26" s="1"/>
      <c r="D26" s="1"/>
      <c r="E26" s="41"/>
      <c r="G26" s="2"/>
      <c r="I26" s="40"/>
    </row>
    <row r="27" spans="1:17" x14ac:dyDescent="0.25">
      <c r="A27" s="3" t="s">
        <v>48</v>
      </c>
      <c r="B27" s="1"/>
      <c r="C27" s="1"/>
      <c r="D27" s="1"/>
      <c r="E27" s="2"/>
      <c r="F27" s="2"/>
      <c r="G27" s="2"/>
      <c r="I27" s="40"/>
    </row>
    <row r="28" spans="1:17" x14ac:dyDescent="0.25">
      <c r="A28" s="20" t="s">
        <v>75</v>
      </c>
      <c r="B28" s="1"/>
      <c r="C28" s="1"/>
      <c r="D28" s="1"/>
      <c r="G28" s="39"/>
      <c r="H28" s="41"/>
      <c r="I28" s="61"/>
      <c r="J28" s="61"/>
    </row>
    <row r="29" spans="1:17" ht="10.5" customHeight="1" x14ac:dyDescent="0.25">
      <c r="A29" s="3" t="s">
        <v>19</v>
      </c>
      <c r="B29" s="1"/>
      <c r="C29" s="1"/>
      <c r="D29" s="1"/>
      <c r="G29" s="2"/>
    </row>
    <row r="30" spans="1:17" x14ac:dyDescent="0.25">
      <c r="D30" s="14"/>
      <c r="E30" s="14"/>
      <c r="F30" s="14"/>
    </row>
    <row r="31" spans="1:17" x14ac:dyDescent="0.25">
      <c r="B31" s="68"/>
      <c r="C31" s="14"/>
      <c r="D31" s="14"/>
      <c r="E31" s="14"/>
      <c r="F31" s="14"/>
      <c r="J31" s="61"/>
    </row>
    <row r="32" spans="1:17" x14ac:dyDescent="0.25">
      <c r="D32" s="14"/>
      <c r="E32" s="14"/>
      <c r="F32" s="14"/>
    </row>
    <row r="33" spans="4:7" x14ac:dyDescent="0.25">
      <c r="D33" s="14"/>
      <c r="E33" s="14"/>
      <c r="F33" s="95"/>
    </row>
    <row r="34" spans="4:7" x14ac:dyDescent="0.25">
      <c r="D34" s="14"/>
      <c r="E34" s="14"/>
      <c r="F34" s="14"/>
    </row>
    <row r="36" spans="4:7" x14ac:dyDescent="0.25">
      <c r="D36" s="78"/>
      <c r="E36" s="78"/>
      <c r="G36" s="14"/>
    </row>
  </sheetData>
  <mergeCells count="3">
    <mergeCell ref="B6:G6"/>
    <mergeCell ref="H6:M6"/>
    <mergeCell ref="A4:M4"/>
  </mergeCells>
  <pageMargins left="0.46" right="0.15748031496062992" top="0.52" bottom="0.74803149606299213" header="0.35433070866141736" footer="0.31496062992125984"/>
  <pageSetup scale="8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  <pageSetUpPr fitToPage="1"/>
  </sheetPr>
  <dimension ref="A1:AI190"/>
  <sheetViews>
    <sheetView workbookViewId="0">
      <selection activeCell="H15" sqref="H15:M15"/>
    </sheetView>
  </sheetViews>
  <sheetFormatPr baseColWidth="10" defaultRowHeight="15" x14ac:dyDescent="0.25"/>
  <cols>
    <col min="1" max="1" width="12.7109375" customWidth="1"/>
    <col min="2" max="2" width="13" customWidth="1"/>
    <col min="3" max="3" width="14.140625" customWidth="1"/>
    <col min="4" max="4" width="14.140625" bestFit="1" customWidth="1"/>
    <col min="5" max="5" width="12.28515625" customWidth="1"/>
    <col min="6" max="6" width="11.42578125" customWidth="1"/>
    <col min="7" max="7" width="12" customWidth="1"/>
    <col min="8" max="8" width="15.140625" bestFit="1" customWidth="1"/>
    <col min="9" max="9" width="14.5703125" customWidth="1"/>
    <col min="10" max="10" width="13.42578125" customWidth="1"/>
    <col min="11" max="11" width="15.140625" customWidth="1"/>
    <col min="12" max="12" width="12" customWidth="1"/>
    <col min="13" max="13" width="14.140625" customWidth="1"/>
    <col min="14" max="14" width="15.42578125" style="2" customWidth="1"/>
    <col min="15" max="15" width="14.140625" style="2" bestFit="1" customWidth="1"/>
    <col min="16" max="35" width="11.42578125" style="2"/>
  </cols>
  <sheetData>
    <row r="1" spans="1:16" s="2" customFormat="1" x14ac:dyDescent="0.25"/>
    <row r="2" spans="1:16" s="2" customFormat="1" x14ac:dyDescent="0.25">
      <c r="A2" s="1"/>
      <c r="B2" s="1"/>
      <c r="C2" s="1"/>
      <c r="D2" s="1"/>
    </row>
    <row r="3" spans="1:16" x14ac:dyDescent="0.25">
      <c r="A3" s="1"/>
      <c r="B3" s="1"/>
      <c r="C3" s="1"/>
      <c r="D3" s="1"/>
      <c r="E3" s="2"/>
      <c r="F3" s="2"/>
      <c r="G3" s="2"/>
      <c r="H3" s="2"/>
      <c r="I3" s="2"/>
      <c r="J3" s="2"/>
      <c r="K3" s="2"/>
      <c r="L3" s="2"/>
      <c r="M3" s="2"/>
    </row>
    <row r="4" spans="1:16" ht="15.75" x14ac:dyDescent="0.25">
      <c r="A4" s="201" t="s">
        <v>111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</row>
    <row r="5" spans="1:16" ht="15.75" x14ac:dyDescent="0.25">
      <c r="A5" s="201" t="s">
        <v>112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</row>
    <row r="6" spans="1:16" ht="5.25" customHeight="1" x14ac:dyDescent="0.25">
      <c r="A6" s="1"/>
      <c r="B6" s="1"/>
      <c r="C6" s="1"/>
      <c r="D6" s="1"/>
      <c r="E6" s="2"/>
      <c r="F6" s="2"/>
      <c r="G6" s="2"/>
      <c r="H6" s="2"/>
      <c r="I6" s="2"/>
      <c r="J6" s="2"/>
      <c r="K6" s="2"/>
      <c r="L6" s="2"/>
      <c r="M6" s="2"/>
    </row>
    <row r="7" spans="1:16" ht="19.5" customHeight="1" x14ac:dyDescent="0.25">
      <c r="A7" s="202" t="s">
        <v>110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</row>
    <row r="8" spans="1:16" ht="4.5" customHeight="1" x14ac:dyDescent="0.25">
      <c r="A8" s="81"/>
      <c r="B8" s="81"/>
      <c r="C8" s="81"/>
      <c r="D8" s="81"/>
      <c r="E8" s="2"/>
      <c r="F8" s="2"/>
      <c r="G8" s="2"/>
      <c r="H8" s="2"/>
      <c r="I8" s="2"/>
      <c r="J8" s="2"/>
      <c r="K8" s="2"/>
      <c r="L8" s="2"/>
      <c r="M8" s="2"/>
    </row>
    <row r="9" spans="1:16" ht="21" customHeight="1" x14ac:dyDescent="0.25">
      <c r="A9" s="138"/>
      <c r="B9" s="203">
        <v>2019</v>
      </c>
      <c r="C9" s="203"/>
      <c r="D9" s="203"/>
      <c r="E9" s="203"/>
      <c r="F9" s="203"/>
      <c r="G9" s="204"/>
      <c r="H9" s="203" t="s">
        <v>109</v>
      </c>
      <c r="I9" s="203"/>
      <c r="J9" s="203"/>
      <c r="K9" s="203"/>
      <c r="L9" s="203"/>
      <c r="M9" s="204"/>
    </row>
    <row r="10" spans="1:16" ht="38.25" customHeight="1" x14ac:dyDescent="0.25">
      <c r="A10" s="139" t="s">
        <v>0</v>
      </c>
      <c r="B10" s="140" t="s">
        <v>113</v>
      </c>
      <c r="C10" s="140" t="s">
        <v>114</v>
      </c>
      <c r="D10" s="140" t="s">
        <v>115</v>
      </c>
      <c r="E10" s="140" t="s">
        <v>116</v>
      </c>
      <c r="F10" s="140" t="s">
        <v>117</v>
      </c>
      <c r="G10" s="141" t="s">
        <v>118</v>
      </c>
      <c r="H10" s="142" t="s">
        <v>113</v>
      </c>
      <c r="I10" s="142" t="s">
        <v>114</v>
      </c>
      <c r="J10" s="142" t="s">
        <v>115</v>
      </c>
      <c r="K10" s="142" t="s">
        <v>116</v>
      </c>
      <c r="L10" s="142" t="s">
        <v>117</v>
      </c>
      <c r="M10" s="143" t="s">
        <v>119</v>
      </c>
    </row>
    <row r="11" spans="1:16" s="2" customFormat="1" ht="3.75" customHeight="1" x14ac:dyDescent="0.25">
      <c r="A11" s="126"/>
      <c r="B11" s="115"/>
      <c r="C11" s="115"/>
      <c r="D11" s="115"/>
      <c r="E11" s="116"/>
      <c r="F11" s="116"/>
      <c r="G11" s="117"/>
      <c r="H11" s="114"/>
      <c r="I11" s="115"/>
      <c r="J11" s="115"/>
      <c r="K11" s="116"/>
      <c r="L11" s="116"/>
      <c r="M11" s="117"/>
    </row>
    <row r="12" spans="1:16" x14ac:dyDescent="0.25">
      <c r="A12" s="82" t="s">
        <v>6</v>
      </c>
      <c r="B12" s="14">
        <v>8680000</v>
      </c>
      <c r="C12" s="14">
        <v>17430039</v>
      </c>
      <c r="D12" s="14">
        <v>181500000</v>
      </c>
      <c r="E12" s="14">
        <v>5146386</v>
      </c>
      <c r="F12" s="14">
        <v>28926</v>
      </c>
      <c r="G12" s="88">
        <v>80408981</v>
      </c>
      <c r="H12" s="51">
        <f>8989*1000</f>
        <v>8989000</v>
      </c>
      <c r="I12" s="14">
        <v>17754798</v>
      </c>
      <c r="J12" s="14">
        <v>222000000</v>
      </c>
      <c r="K12" s="14">
        <v>5454935.7148340177</v>
      </c>
      <c r="L12" s="14">
        <v>52325</v>
      </c>
      <c r="M12" s="88">
        <v>78175507.547169805</v>
      </c>
      <c r="N12" s="137"/>
      <c r="O12" s="137"/>
      <c r="P12" s="137"/>
    </row>
    <row r="13" spans="1:16" x14ac:dyDescent="0.25">
      <c r="A13" s="82" t="s">
        <v>7</v>
      </c>
      <c r="B13" s="14">
        <v>8730000</v>
      </c>
      <c r="C13" s="14">
        <v>15715062</v>
      </c>
      <c r="D13" s="14">
        <v>178500000</v>
      </c>
      <c r="E13" s="14">
        <v>4699988</v>
      </c>
      <c r="F13" s="14">
        <v>55310</v>
      </c>
      <c r="G13" s="88">
        <v>67899155</v>
      </c>
      <c r="H13" s="51">
        <f>88750*100</f>
        <v>8875000</v>
      </c>
      <c r="I13" s="14">
        <v>15905905</v>
      </c>
      <c r="J13" s="14">
        <v>280000000</v>
      </c>
      <c r="K13" s="14">
        <v>5875489.8150021983</v>
      </c>
      <c r="L13" s="14">
        <v>29925</v>
      </c>
      <c r="M13" s="88">
        <v>71474373.584905654</v>
      </c>
      <c r="N13" s="137"/>
      <c r="O13" s="137"/>
      <c r="P13" s="137"/>
    </row>
    <row r="14" spans="1:16" x14ac:dyDescent="0.25">
      <c r="A14" s="82" t="s">
        <v>8</v>
      </c>
      <c r="B14" s="14">
        <v>8728000</v>
      </c>
      <c r="C14" s="14">
        <v>16143994</v>
      </c>
      <c r="D14" s="14">
        <v>182000000</v>
      </c>
      <c r="E14" s="14">
        <v>4906218</v>
      </c>
      <c r="F14" s="14">
        <v>80300</v>
      </c>
      <c r="G14" s="88">
        <v>73996541</v>
      </c>
      <c r="H14" s="51">
        <f>88450*100</f>
        <v>8845000</v>
      </c>
      <c r="I14" s="14">
        <v>17840898</v>
      </c>
      <c r="J14" s="14">
        <v>225000000</v>
      </c>
      <c r="K14" s="14">
        <v>5191156.2537072822</v>
      </c>
      <c r="L14" s="14">
        <v>93925</v>
      </c>
      <c r="M14" s="88">
        <v>74880781.132075474</v>
      </c>
      <c r="N14" s="137"/>
      <c r="O14" s="137"/>
      <c r="P14" s="137"/>
    </row>
    <row r="15" spans="1:16" x14ac:dyDescent="0.25">
      <c r="A15" s="82" t="s">
        <v>9</v>
      </c>
      <c r="B15" s="14">
        <v>8745000</v>
      </c>
      <c r="C15" s="14">
        <v>17372575</v>
      </c>
      <c r="D15" s="14">
        <v>184000000</v>
      </c>
      <c r="E15" s="14">
        <v>4962159</v>
      </c>
      <c r="F15" s="14">
        <v>188088</v>
      </c>
      <c r="G15" s="88">
        <v>69816668</v>
      </c>
      <c r="H15" s="51">
        <f>88680*100</f>
        <v>8868000</v>
      </c>
      <c r="I15" s="14">
        <v>16809609</v>
      </c>
      <c r="J15" s="14">
        <v>235000000</v>
      </c>
      <c r="K15" s="14">
        <v>4796944.8495802479</v>
      </c>
      <c r="L15" s="14">
        <v>172104.74999999997</v>
      </c>
      <c r="M15" s="88">
        <v>72088584.905660376</v>
      </c>
      <c r="N15" s="137"/>
      <c r="O15" s="137"/>
      <c r="P15" s="137"/>
    </row>
    <row r="16" spans="1:16" x14ac:dyDescent="0.25">
      <c r="A16" s="82" t="s">
        <v>10</v>
      </c>
      <c r="B16" s="14">
        <v>8760000</v>
      </c>
      <c r="C16" s="14">
        <v>17776381</v>
      </c>
      <c r="D16" s="14">
        <v>198000000</v>
      </c>
      <c r="E16" s="14">
        <v>5643438</v>
      </c>
      <c r="F16" s="14">
        <v>80691</v>
      </c>
      <c r="G16" s="131">
        <v>71579310</v>
      </c>
      <c r="H16" s="51">
        <v>8874000</v>
      </c>
      <c r="I16" s="14">
        <v>15998268</v>
      </c>
      <c r="J16" s="14">
        <v>233000000</v>
      </c>
      <c r="K16" s="14">
        <v>5893604.9797974862</v>
      </c>
      <c r="L16" s="14">
        <v>186692.5</v>
      </c>
      <c r="M16" s="88">
        <v>73206967.924528301</v>
      </c>
      <c r="N16" s="137"/>
      <c r="O16" s="137"/>
      <c r="P16" s="137"/>
    </row>
    <row r="17" spans="1:16" x14ac:dyDescent="0.25">
      <c r="A17" s="82" t="s">
        <v>11</v>
      </c>
      <c r="B17" s="14">
        <v>8745000</v>
      </c>
      <c r="C17" s="14">
        <v>17781296</v>
      </c>
      <c r="D17" s="14">
        <v>198800000</v>
      </c>
      <c r="E17" s="14">
        <v>5567963</v>
      </c>
      <c r="F17" s="14">
        <v>148997</v>
      </c>
      <c r="G17" s="131">
        <v>70283068</v>
      </c>
      <c r="H17" s="51">
        <v>8896000</v>
      </c>
      <c r="I17" s="14">
        <v>15115982</v>
      </c>
      <c r="J17" s="14">
        <v>231000000</v>
      </c>
      <c r="K17" s="14">
        <v>5749802.1619132021</v>
      </c>
      <c r="L17" s="14">
        <v>144600</v>
      </c>
      <c r="M17" s="88">
        <v>72161773.584905654</v>
      </c>
      <c r="N17" s="137"/>
      <c r="O17" s="137"/>
      <c r="P17" s="137"/>
    </row>
    <row r="18" spans="1:16" x14ac:dyDescent="0.25">
      <c r="A18" s="82" t="s">
        <v>12</v>
      </c>
      <c r="B18" s="14">
        <v>8780000</v>
      </c>
      <c r="C18" s="14">
        <v>18343202</v>
      </c>
      <c r="D18" s="14">
        <v>224000000</v>
      </c>
      <c r="E18" s="14">
        <v>5698998</v>
      </c>
      <c r="F18" s="14">
        <v>87105</v>
      </c>
      <c r="G18" s="88">
        <v>76395840</v>
      </c>
      <c r="H18" s="51">
        <v>8998000</v>
      </c>
      <c r="I18" s="14">
        <v>16264245</v>
      </c>
      <c r="J18" s="14">
        <v>220000000</v>
      </c>
      <c r="K18" s="14">
        <v>5757862.2321160641</v>
      </c>
      <c r="L18" s="14">
        <v>160332.5</v>
      </c>
      <c r="M18" s="88">
        <v>72285916.981132075</v>
      </c>
      <c r="N18" s="137"/>
      <c r="O18" s="137"/>
      <c r="P18" s="137"/>
    </row>
    <row r="19" spans="1:16" x14ac:dyDescent="0.25">
      <c r="A19" s="82" t="s">
        <v>13</v>
      </c>
      <c r="B19" s="14">
        <v>8787000</v>
      </c>
      <c r="C19" s="14">
        <v>17510681</v>
      </c>
      <c r="D19" s="14">
        <v>222000000</v>
      </c>
      <c r="E19" s="14">
        <v>5254425</v>
      </c>
      <c r="F19" s="14">
        <v>87105</v>
      </c>
      <c r="G19" s="131">
        <v>85501147</v>
      </c>
      <c r="H19" s="51">
        <v>8965000</v>
      </c>
      <c r="I19" s="14">
        <v>15598098</v>
      </c>
      <c r="J19" s="14">
        <v>212000000</v>
      </c>
      <c r="K19" s="14">
        <v>5533425.2158075068</v>
      </c>
      <c r="L19" s="14">
        <v>58905</v>
      </c>
      <c r="M19" s="88">
        <v>73310192.452830181</v>
      </c>
      <c r="N19" s="137"/>
      <c r="O19" s="137"/>
      <c r="P19" s="137"/>
    </row>
    <row r="20" spans="1:16" x14ac:dyDescent="0.25">
      <c r="A20" s="82" t="s">
        <v>14</v>
      </c>
      <c r="B20" s="14">
        <v>8825000</v>
      </c>
      <c r="C20" s="14">
        <v>16295078</v>
      </c>
      <c r="D20" s="14">
        <v>228000000</v>
      </c>
      <c r="E20" s="14">
        <v>5698798</v>
      </c>
      <c r="F20" s="14">
        <v>39462.5</v>
      </c>
      <c r="G20" s="131">
        <v>79369898</v>
      </c>
      <c r="H20" s="51">
        <v>8890000</v>
      </c>
      <c r="I20" s="14">
        <v>14135662</v>
      </c>
      <c r="J20" s="14">
        <v>218000000</v>
      </c>
      <c r="K20" s="14">
        <v>5694946.9291481441</v>
      </c>
      <c r="L20" s="14">
        <v>65905</v>
      </c>
      <c r="M20" s="88">
        <v>64037366.037735842</v>
      </c>
      <c r="N20" s="137"/>
      <c r="O20" s="137"/>
      <c r="P20" s="137"/>
    </row>
    <row r="21" spans="1:16" x14ac:dyDescent="0.25">
      <c r="A21" s="82" t="s">
        <v>22</v>
      </c>
      <c r="B21" s="14">
        <v>8832500</v>
      </c>
      <c r="C21" s="14">
        <v>17845494</v>
      </c>
      <c r="D21" s="14">
        <v>230000000</v>
      </c>
      <c r="E21" s="14">
        <v>5021424</v>
      </c>
      <c r="F21" s="14">
        <v>42855</v>
      </c>
      <c r="G21" s="131">
        <v>74512661</v>
      </c>
      <c r="H21" s="51">
        <v>8935000</v>
      </c>
      <c r="I21" s="14">
        <v>13626570</v>
      </c>
      <c r="J21" s="14">
        <v>219000000</v>
      </c>
      <c r="K21" s="14">
        <v>5374971.9118765658</v>
      </c>
      <c r="L21" s="14">
        <v>52142.5</v>
      </c>
      <c r="M21" s="88">
        <v>75617013.207547173</v>
      </c>
      <c r="N21" s="137"/>
      <c r="O21" s="137"/>
      <c r="P21" s="137"/>
    </row>
    <row r="22" spans="1:16" x14ac:dyDescent="0.25">
      <c r="A22" s="82" t="s">
        <v>23</v>
      </c>
      <c r="B22" s="14">
        <v>8840000</v>
      </c>
      <c r="C22" s="14">
        <v>17115062</v>
      </c>
      <c r="D22" s="14">
        <v>232000000</v>
      </c>
      <c r="E22" s="14">
        <v>5822414</v>
      </c>
      <c r="F22" s="14">
        <v>143123.5</v>
      </c>
      <c r="G22" s="131">
        <v>71423419</v>
      </c>
      <c r="H22" s="51">
        <v>8940000</v>
      </c>
      <c r="I22" s="14">
        <v>14990888</v>
      </c>
      <c r="J22" s="14">
        <v>233382008</v>
      </c>
      <c r="K22" s="14">
        <v>5565096.5034965025</v>
      </c>
      <c r="L22" s="14">
        <v>52030</v>
      </c>
      <c r="M22" s="88">
        <v>74088596.226415098</v>
      </c>
      <c r="N22" s="137"/>
      <c r="O22" s="137"/>
      <c r="P22" s="137"/>
    </row>
    <row r="23" spans="1:16" x14ac:dyDescent="0.25">
      <c r="A23" s="82" t="s">
        <v>24</v>
      </c>
      <c r="B23" s="14">
        <v>8865000</v>
      </c>
      <c r="C23" s="14">
        <v>18936359</v>
      </c>
      <c r="D23" s="14">
        <v>235000000</v>
      </c>
      <c r="E23" s="14">
        <v>5684689.3558224412</v>
      </c>
      <c r="F23" s="14">
        <v>24962.5</v>
      </c>
      <c r="G23" s="131">
        <v>64787377.358490564</v>
      </c>
      <c r="H23" s="51">
        <v>8944000</v>
      </c>
      <c r="I23" s="14">
        <v>17485590</v>
      </c>
      <c r="J23" s="14">
        <v>225000000</v>
      </c>
      <c r="K23" s="14">
        <v>5561982.2887808001</v>
      </c>
      <c r="L23" s="14">
        <v>39055</v>
      </c>
      <c r="M23" s="88">
        <v>68349849.056603774</v>
      </c>
      <c r="N23" s="133"/>
      <c r="O23" s="133"/>
      <c r="P23" s="133"/>
    </row>
    <row r="24" spans="1:16" ht="17.25" customHeight="1" x14ac:dyDescent="0.25">
      <c r="A24" s="129" t="s">
        <v>15</v>
      </c>
      <c r="B24" s="130">
        <f>SUM(B12:B23)</f>
        <v>105317500</v>
      </c>
      <c r="C24" s="130">
        <f t="shared" ref="C24:G24" si="0">SUM(C12:C23)</f>
        <v>208265223</v>
      </c>
      <c r="D24" s="130">
        <f t="shared" si="0"/>
        <v>2493800000</v>
      </c>
      <c r="E24" s="130">
        <f t="shared" si="0"/>
        <v>64106900.355822444</v>
      </c>
      <c r="F24" s="130">
        <f t="shared" si="0"/>
        <v>1006925.5</v>
      </c>
      <c r="G24" s="130">
        <f t="shared" si="0"/>
        <v>885974065.35849059</v>
      </c>
      <c r="H24" s="135">
        <f>SUM(H12:H23)</f>
        <v>107019000</v>
      </c>
      <c r="I24" s="149">
        <f>SUM(I12:I23)</f>
        <v>191526513</v>
      </c>
      <c r="J24" s="149">
        <f t="shared" ref="J24:M24" si="1">SUM(J12:J23)</f>
        <v>2753382008</v>
      </c>
      <c r="K24" s="149">
        <f t="shared" si="1"/>
        <v>66450218.856060021</v>
      </c>
      <c r="L24" s="149">
        <f t="shared" si="1"/>
        <v>1107942.25</v>
      </c>
      <c r="M24" s="149">
        <f t="shared" si="1"/>
        <v>869676922.64150941</v>
      </c>
      <c r="N24" s="136"/>
    </row>
    <row r="25" spans="1:16" ht="7.5" customHeight="1" x14ac:dyDescent="0.25">
      <c r="A25" s="127"/>
      <c r="B25" s="119"/>
      <c r="C25" s="64"/>
      <c r="D25" s="64"/>
      <c r="E25" s="119"/>
      <c r="F25" s="119"/>
      <c r="G25" s="128"/>
      <c r="H25" s="118"/>
      <c r="I25" s="64"/>
      <c r="J25" s="64"/>
      <c r="K25" s="119"/>
      <c r="L25" s="119"/>
      <c r="M25" s="120"/>
    </row>
    <row r="26" spans="1:16" ht="3" customHeight="1" x14ac:dyDescent="0.25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</row>
    <row r="27" spans="1:16" s="2" customFormat="1" ht="11.25" customHeight="1" x14ac:dyDescent="0.25">
      <c r="A27" s="31" t="s">
        <v>108</v>
      </c>
      <c r="B27" s="31"/>
      <c r="C27" s="31"/>
      <c r="D27" s="31"/>
      <c r="E27" s="31"/>
      <c r="F27" s="31"/>
      <c r="G27" s="31"/>
      <c r="H27" s="132"/>
      <c r="I27" s="31"/>
      <c r="J27" s="31"/>
      <c r="K27" s="31"/>
      <c r="L27" s="31"/>
      <c r="M27" s="31"/>
    </row>
    <row r="28" spans="1:16" s="2" customFormat="1" ht="11.25" customHeight="1" x14ac:dyDescent="0.25">
      <c r="A28" s="146" t="s">
        <v>121</v>
      </c>
      <c r="B28" s="31"/>
      <c r="C28" s="31"/>
      <c r="D28" s="31"/>
      <c r="E28" s="31"/>
      <c r="F28" s="31"/>
      <c r="G28" s="31"/>
      <c r="H28" s="132"/>
      <c r="I28" s="166">
        <f>+I24/4.5</f>
        <v>42561447.333333336</v>
      </c>
      <c r="J28" s="4">
        <f>+I28/100</f>
        <v>425614.47333333339</v>
      </c>
      <c r="K28" s="31"/>
      <c r="L28" s="4"/>
      <c r="M28" s="31">
        <v>2.2046000000000001</v>
      </c>
    </row>
    <row r="29" spans="1:16" s="2" customFormat="1" ht="11.25" customHeight="1" x14ac:dyDescent="0.25">
      <c r="A29" s="31" t="s">
        <v>125</v>
      </c>
      <c r="B29" s="31"/>
      <c r="C29" s="31"/>
      <c r="D29" s="31"/>
      <c r="E29" s="31"/>
      <c r="F29" s="31"/>
      <c r="G29" s="31"/>
      <c r="H29" s="132"/>
      <c r="I29" s="31"/>
      <c r="J29" s="31"/>
      <c r="K29" s="31"/>
      <c r="L29" s="4">
        <v>748255.27288252907</v>
      </c>
      <c r="M29" s="31"/>
    </row>
    <row r="30" spans="1:16" s="2" customFormat="1" ht="13.5" customHeight="1" x14ac:dyDescent="0.25">
      <c r="A30" s="31" t="s">
        <v>122</v>
      </c>
      <c r="B30" s="145"/>
      <c r="C30" s="31"/>
      <c r="D30" s="31"/>
      <c r="H30" s="134"/>
      <c r="I30" s="39">
        <f>+I24*4.5</f>
        <v>861869308.5</v>
      </c>
      <c r="J30" s="39">
        <f>+I30/100</f>
        <v>8618693.0850000009</v>
      </c>
      <c r="L30" s="39"/>
    </row>
    <row r="31" spans="1:16" s="2" customFormat="1" x14ac:dyDescent="0.25">
      <c r="A31" s="31" t="s">
        <v>123</v>
      </c>
      <c r="B31" s="31"/>
      <c r="C31" s="31"/>
      <c r="D31" s="31"/>
      <c r="E31" s="39"/>
      <c r="I31" s="39"/>
      <c r="M31" s="137">
        <f>+L29/550</f>
        <v>1360.4641325136893</v>
      </c>
    </row>
    <row r="32" spans="1:16" s="2" customFormat="1" x14ac:dyDescent="0.25">
      <c r="A32" s="31" t="s">
        <v>48</v>
      </c>
      <c r="B32" s="31"/>
      <c r="C32" s="31"/>
      <c r="D32" s="31"/>
      <c r="H32" s="133"/>
      <c r="I32" s="133"/>
      <c r="J32" s="133"/>
      <c r="K32" s="133">
        <f>+K24*M28</f>
        <v>146496152.49006993</v>
      </c>
      <c r="L32" s="133">
        <f>+K32/100</f>
        <v>1464961.5249006993</v>
      </c>
      <c r="M32" s="39">
        <f>+M31*100</f>
        <v>136046.41325136894</v>
      </c>
    </row>
    <row r="33" spans="1:13" s="2" customFormat="1" x14ac:dyDescent="0.25">
      <c r="A33" s="146" t="s">
        <v>120</v>
      </c>
      <c r="B33" s="31"/>
      <c r="C33" s="31"/>
      <c r="D33" s="31"/>
      <c r="G33" s="39"/>
      <c r="J33" s="39">
        <v>1496510.5457650581</v>
      </c>
      <c r="K33" s="39"/>
    </row>
    <row r="34" spans="1:13" s="2" customFormat="1" ht="10.5" customHeight="1" x14ac:dyDescent="0.25">
      <c r="A34" s="31" t="s">
        <v>107</v>
      </c>
      <c r="B34" s="31"/>
      <c r="C34" s="31"/>
      <c r="D34" s="31"/>
      <c r="H34" s="39"/>
      <c r="I34" s="39"/>
      <c r="J34" s="39"/>
      <c r="K34" s="39"/>
      <c r="L34" s="39"/>
      <c r="M34" s="39"/>
    </row>
    <row r="35" spans="1:13" s="2" customFormat="1" x14ac:dyDescent="0.25">
      <c r="H35" s="39"/>
      <c r="I35" s="39">
        <f>+K24/1000</f>
        <v>66450.218856060019</v>
      </c>
      <c r="J35" s="39">
        <f>+I35*22.046</f>
        <v>1464961.524900699</v>
      </c>
      <c r="K35" s="39">
        <f>+I35*M28</f>
        <v>146496.15249006992</v>
      </c>
      <c r="L35" s="14">
        <f>+K24*0.5</f>
        <v>33225109.42803001</v>
      </c>
      <c r="M35" s="39"/>
    </row>
    <row r="36" spans="1:13" s="2" customFormat="1" x14ac:dyDescent="0.25">
      <c r="B36" s="147"/>
      <c r="D36" s="148"/>
      <c r="E36" s="147"/>
      <c r="G36" s="147"/>
      <c r="H36" s="39"/>
      <c r="I36" s="39"/>
      <c r="J36" s="39"/>
      <c r="K36" s="39"/>
      <c r="L36" s="39"/>
      <c r="M36" s="39"/>
    </row>
    <row r="37" spans="1:13" s="2" customFormat="1" x14ac:dyDescent="0.25">
      <c r="B37" s="150"/>
      <c r="C37" s="150"/>
      <c r="D37" s="150"/>
      <c r="E37" s="150"/>
      <c r="F37" s="150"/>
      <c r="G37" s="167">
        <f>+H24/100</f>
        <v>1070190</v>
      </c>
      <c r="H37" s="39"/>
      <c r="I37" s="39">
        <v>748255.27288252907</v>
      </c>
      <c r="J37" s="39">
        <v>550</v>
      </c>
      <c r="K37" s="39"/>
      <c r="L37" s="137">
        <v>1070190</v>
      </c>
      <c r="M37" s="39"/>
    </row>
    <row r="38" spans="1:13" s="2" customFormat="1" x14ac:dyDescent="0.25">
      <c r="B38" s="150"/>
      <c r="C38" s="151"/>
      <c r="D38" s="152"/>
      <c r="E38" s="150"/>
      <c r="F38" s="151"/>
      <c r="G38" s="150">
        <v>1783685.7</v>
      </c>
      <c r="H38" s="39"/>
      <c r="I38" s="39"/>
      <c r="J38" s="39"/>
      <c r="K38" s="39"/>
      <c r="L38" s="39"/>
      <c r="M38" s="39"/>
    </row>
    <row r="39" spans="1:13" s="2" customFormat="1" x14ac:dyDescent="0.25">
      <c r="B39" s="150"/>
      <c r="C39" s="151"/>
      <c r="D39" s="152"/>
      <c r="E39" s="150"/>
      <c r="F39" s="151"/>
      <c r="G39" s="150"/>
      <c r="H39" s="39"/>
      <c r="I39" s="39">
        <f>+I37/J37</f>
        <v>1360.4641325136893</v>
      </c>
      <c r="J39" s="39">
        <f>+I39*100</f>
        <v>136046.41325136894</v>
      </c>
      <c r="K39" s="39"/>
      <c r="L39" s="39"/>
      <c r="M39" s="39"/>
    </row>
    <row r="40" spans="1:13" s="2" customFormat="1" x14ac:dyDescent="0.25">
      <c r="B40" s="150"/>
      <c r="C40" s="151"/>
      <c r="D40" s="152"/>
      <c r="E40" s="150"/>
      <c r="F40" s="151"/>
      <c r="G40" s="150">
        <f>+H24/100</f>
        <v>1070190</v>
      </c>
      <c r="H40" s="39"/>
      <c r="I40" s="39"/>
      <c r="J40" s="39"/>
      <c r="K40" s="39"/>
      <c r="L40" s="137">
        <v>2753382.0079999999</v>
      </c>
      <c r="M40" s="39"/>
    </row>
    <row r="41" spans="1:13" s="2" customFormat="1" x14ac:dyDescent="0.25">
      <c r="B41" s="150"/>
      <c r="C41" s="151"/>
      <c r="D41" s="152"/>
      <c r="E41" s="150"/>
      <c r="F41" s="151"/>
      <c r="G41" s="167">
        <f>+G40*167.7</f>
        <v>179470863</v>
      </c>
      <c r="H41" s="39"/>
      <c r="I41" s="39">
        <f>+J24*0.16</f>
        <v>440541121.28000003</v>
      </c>
      <c r="J41" s="39"/>
      <c r="K41" s="39"/>
      <c r="L41" s="39"/>
      <c r="M41" s="39"/>
    </row>
    <row r="42" spans="1:13" s="2" customFormat="1" x14ac:dyDescent="0.25">
      <c r="B42" s="151"/>
      <c r="C42" s="151"/>
      <c r="D42" s="152"/>
      <c r="E42" s="150"/>
      <c r="F42" s="151"/>
      <c r="G42" s="167">
        <f>+G41/100</f>
        <v>1794708.63</v>
      </c>
      <c r="H42" s="39"/>
      <c r="I42" s="39">
        <f>+I41/100</f>
        <v>4405411.2127999999</v>
      </c>
      <c r="J42" s="39"/>
      <c r="K42" s="39"/>
      <c r="L42" s="39"/>
      <c r="M42" s="39"/>
    </row>
    <row r="43" spans="1:13" s="2" customFormat="1" x14ac:dyDescent="0.25">
      <c r="B43" s="152"/>
      <c r="C43" s="151"/>
      <c r="D43" s="152"/>
      <c r="E43" s="150"/>
      <c r="F43" s="151"/>
      <c r="G43" s="150"/>
      <c r="H43" s="39"/>
      <c r="I43" s="39"/>
      <c r="J43" s="39"/>
      <c r="K43" s="39"/>
      <c r="L43" s="39"/>
      <c r="M43" s="39"/>
    </row>
    <row r="44" spans="1:13" s="2" customFormat="1" x14ac:dyDescent="0.25">
      <c r="B44" s="150"/>
      <c r="C44" s="151"/>
      <c r="D44" s="152"/>
      <c r="E44" s="150"/>
      <c r="F44" s="151"/>
      <c r="G44" s="150"/>
      <c r="H44" s="39"/>
      <c r="I44" s="39"/>
      <c r="J44" s="39"/>
      <c r="K44" s="39"/>
      <c r="L44" s="39"/>
      <c r="M44" s="39"/>
    </row>
    <row r="45" spans="1:13" s="2" customFormat="1" x14ac:dyDescent="0.25">
      <c r="B45" s="151"/>
      <c r="C45" s="151"/>
      <c r="D45" s="152"/>
      <c r="E45" s="150"/>
      <c r="F45" s="151"/>
      <c r="G45" s="150"/>
    </row>
    <row r="46" spans="1:13" s="2" customFormat="1" x14ac:dyDescent="0.25">
      <c r="B46" s="150"/>
      <c r="C46" s="151"/>
      <c r="D46" s="152"/>
      <c r="E46" s="150"/>
      <c r="F46" s="151"/>
      <c r="G46" s="150"/>
    </row>
    <row r="47" spans="1:13" s="2" customFormat="1" x14ac:dyDescent="0.25">
      <c r="B47" s="150"/>
      <c r="C47" s="151"/>
      <c r="D47" s="152"/>
      <c r="E47" s="150"/>
      <c r="F47" s="151"/>
      <c r="G47" s="150"/>
    </row>
    <row r="48" spans="1:13" s="2" customFormat="1" x14ac:dyDescent="0.25">
      <c r="B48" s="150"/>
      <c r="C48" s="151"/>
      <c r="D48" s="152"/>
      <c r="E48" s="150"/>
      <c r="F48" s="151"/>
      <c r="G48" s="150"/>
    </row>
    <row r="49" spans="2:13" s="2" customFormat="1" x14ac:dyDescent="0.25"/>
    <row r="50" spans="2:13" s="2" customFormat="1" x14ac:dyDescent="0.25">
      <c r="B50" s="153"/>
      <c r="C50" s="153"/>
      <c r="D50" s="153"/>
      <c r="E50" s="153"/>
      <c r="F50" s="153"/>
      <c r="G50" s="153"/>
    </row>
    <row r="51" spans="2:13" s="2" customFormat="1" x14ac:dyDescent="0.25">
      <c r="B51" s="153"/>
      <c r="C51" s="153"/>
      <c r="D51" s="153"/>
      <c r="E51" s="153"/>
      <c r="F51" s="153"/>
      <c r="G51" s="153"/>
    </row>
    <row r="52" spans="2:13" s="2" customFormat="1" x14ac:dyDescent="0.25">
      <c r="B52" s="153"/>
      <c r="C52" s="153"/>
      <c r="D52" s="153"/>
      <c r="E52" s="153"/>
      <c r="F52" s="153"/>
      <c r="G52" s="153"/>
    </row>
    <row r="53" spans="2:13" s="2" customFormat="1" x14ac:dyDescent="0.25">
      <c r="B53" s="153"/>
      <c r="C53" s="153"/>
      <c r="D53" s="153"/>
      <c r="E53" s="153"/>
      <c r="F53" s="153"/>
      <c r="G53" s="153"/>
    </row>
    <row r="54" spans="2:13" s="2" customFormat="1" x14ac:dyDescent="0.25">
      <c r="B54" s="153"/>
      <c r="C54" s="153"/>
      <c r="D54" s="153"/>
      <c r="E54" s="153"/>
      <c r="F54" s="153"/>
      <c r="G54" s="153"/>
    </row>
    <row r="55" spans="2:13" s="2" customFormat="1" x14ac:dyDescent="0.25">
      <c r="B55" s="153"/>
      <c r="C55" s="153"/>
      <c r="D55" s="153"/>
      <c r="E55" s="153"/>
      <c r="F55" s="153"/>
      <c r="G55" s="153"/>
    </row>
    <row r="56" spans="2:13" s="2" customFormat="1" x14ac:dyDescent="0.25">
      <c r="B56" s="153"/>
      <c r="C56" s="153"/>
      <c r="D56" s="153"/>
      <c r="E56" s="153"/>
      <c r="F56" s="153"/>
      <c r="G56" s="153"/>
      <c r="M56" s="39"/>
    </row>
    <row r="57" spans="2:13" s="2" customFormat="1" x14ac:dyDescent="0.25">
      <c r="B57" s="153"/>
      <c r="C57" s="153"/>
      <c r="D57" s="153"/>
      <c r="E57" s="153"/>
      <c r="F57" s="153"/>
      <c r="G57" s="153"/>
    </row>
    <row r="58" spans="2:13" s="2" customFormat="1" x14ac:dyDescent="0.25">
      <c r="B58" s="153"/>
      <c r="C58" s="153"/>
      <c r="D58" s="153"/>
      <c r="E58" s="153"/>
      <c r="F58" s="153"/>
      <c r="G58" s="153"/>
    </row>
    <row r="59" spans="2:13" s="2" customFormat="1" x14ac:dyDescent="0.25">
      <c r="B59" s="153"/>
      <c r="C59" s="153"/>
      <c r="D59" s="153"/>
      <c r="E59" s="153"/>
      <c r="F59" s="153"/>
      <c r="G59" s="153"/>
    </row>
    <row r="60" spans="2:13" s="2" customFormat="1" x14ac:dyDescent="0.25">
      <c r="B60" s="153"/>
      <c r="C60" s="153"/>
      <c r="D60" s="153"/>
      <c r="E60" s="153"/>
      <c r="F60" s="153"/>
      <c r="G60" s="153"/>
    </row>
    <row r="61" spans="2:13" s="2" customFormat="1" x14ac:dyDescent="0.25">
      <c r="B61" s="153"/>
      <c r="C61" s="153"/>
      <c r="D61" s="153"/>
      <c r="E61" s="153"/>
      <c r="F61" s="153"/>
      <c r="G61" s="153"/>
    </row>
    <row r="62" spans="2:13" s="2" customFormat="1" x14ac:dyDescent="0.25"/>
    <row r="63" spans="2:13" s="2" customFormat="1" x14ac:dyDescent="0.25"/>
    <row r="64" spans="2:13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</sheetData>
  <mergeCells count="5">
    <mergeCell ref="A4:M4"/>
    <mergeCell ref="A5:M5"/>
    <mergeCell ref="A7:M7"/>
    <mergeCell ref="B9:G9"/>
    <mergeCell ref="H9:M9"/>
  </mergeCells>
  <pageMargins left="0.46" right="0.15748031496062992" top="0.52" bottom="0.74803149606299213" header="0.35433070866141736" footer="0.31496062992125984"/>
  <pageSetup scale="8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  <pageSetUpPr fitToPage="1"/>
  </sheetPr>
  <dimension ref="A1:AC190"/>
  <sheetViews>
    <sheetView tabSelected="1" zoomScaleNormal="100" workbookViewId="0">
      <selection activeCell="J10" sqref="J10"/>
    </sheetView>
  </sheetViews>
  <sheetFormatPr baseColWidth="10" defaultRowHeight="15" x14ac:dyDescent="0.25"/>
  <cols>
    <col min="1" max="1" width="12.7109375" customWidth="1"/>
    <col min="2" max="7" width="13.7109375" customWidth="1"/>
    <col min="8" max="8" width="15.42578125" style="2" customWidth="1"/>
    <col min="9" max="9" width="14.140625" style="2" bestFit="1" customWidth="1"/>
    <col min="10" max="10" width="13.42578125" style="2" customWidth="1"/>
    <col min="11" max="29" width="11.42578125" style="2"/>
  </cols>
  <sheetData>
    <row r="1" spans="1:10" s="2" customFormat="1" ht="1.5" customHeight="1" x14ac:dyDescent="0.25"/>
    <row r="2" spans="1:10" s="2" customFormat="1" ht="6.75" customHeight="1" x14ac:dyDescent="0.25"/>
    <row r="3" spans="1:10" s="2" customFormat="1" x14ac:dyDescent="0.25"/>
    <row r="4" spans="1:10" s="2" customFormat="1" x14ac:dyDescent="0.25">
      <c r="A4" s="189"/>
    </row>
    <row r="5" spans="1:10" x14ac:dyDescent="0.25">
      <c r="A5" s="189"/>
      <c r="B5" s="2"/>
      <c r="C5" s="2"/>
      <c r="D5" s="2"/>
      <c r="E5" s="2"/>
      <c r="F5" s="2"/>
      <c r="G5" s="2"/>
    </row>
    <row r="6" spans="1:10" ht="15.75" x14ac:dyDescent="0.25">
      <c r="A6" s="208" t="s">
        <v>111</v>
      </c>
      <c r="B6" s="208"/>
      <c r="C6" s="208"/>
      <c r="D6" s="208"/>
      <c r="E6" s="208"/>
      <c r="F6" s="208"/>
      <c r="G6" s="208"/>
    </row>
    <row r="7" spans="1:10" ht="15.75" x14ac:dyDescent="0.25">
      <c r="A7" s="208" t="s">
        <v>112</v>
      </c>
      <c r="B7" s="208"/>
      <c r="C7" s="208"/>
      <c r="D7" s="208"/>
      <c r="E7" s="208"/>
      <c r="F7" s="208"/>
      <c r="G7" s="208"/>
    </row>
    <row r="8" spans="1:10" ht="16.5" customHeight="1" x14ac:dyDescent="0.25">
      <c r="A8" s="205" t="s">
        <v>149</v>
      </c>
      <c r="B8" s="205"/>
      <c r="C8" s="205"/>
      <c r="D8" s="205"/>
      <c r="E8" s="205"/>
      <c r="F8" s="205"/>
      <c r="G8" s="205"/>
    </row>
    <row r="9" spans="1:10" ht="4.5" customHeight="1" thickBot="1" x14ac:dyDescent="0.3">
      <c r="A9" s="188"/>
      <c r="B9" s="2"/>
      <c r="C9" s="2"/>
      <c r="D9" s="2"/>
      <c r="E9" s="2"/>
      <c r="F9" s="2"/>
      <c r="G9" s="2"/>
    </row>
    <row r="10" spans="1:10" ht="21" customHeight="1" x14ac:dyDescent="0.25">
      <c r="A10" s="218" t="s">
        <v>0</v>
      </c>
      <c r="B10" s="206" t="s">
        <v>148</v>
      </c>
      <c r="C10" s="206"/>
      <c r="D10" s="206"/>
      <c r="E10" s="206"/>
      <c r="F10" s="206"/>
      <c r="G10" s="207"/>
    </row>
    <row r="11" spans="1:10" ht="39.75" customHeight="1" thickBot="1" x14ac:dyDescent="0.3">
      <c r="A11" s="219"/>
      <c r="B11" s="168" t="s">
        <v>141</v>
      </c>
      <c r="C11" s="168" t="s">
        <v>145</v>
      </c>
      <c r="D11" s="168" t="s">
        <v>142</v>
      </c>
      <c r="E11" s="168" t="s">
        <v>143</v>
      </c>
      <c r="F11" s="168" t="s">
        <v>144</v>
      </c>
      <c r="G11" s="169" t="s">
        <v>150</v>
      </c>
    </row>
    <row r="12" spans="1:10" s="2" customFormat="1" ht="3.75" customHeight="1" x14ac:dyDescent="0.25">
      <c r="A12" s="180"/>
      <c r="B12" s="170"/>
      <c r="C12" s="171"/>
      <c r="D12" s="171"/>
      <c r="E12" s="172"/>
      <c r="F12" s="172"/>
      <c r="G12" s="181"/>
    </row>
    <row r="13" spans="1:10" x14ac:dyDescent="0.25">
      <c r="A13" s="216" t="s">
        <v>6</v>
      </c>
      <c r="B13" s="173">
        <v>3450000</v>
      </c>
      <c r="C13" s="173">
        <v>21244982</v>
      </c>
      <c r="D13" s="173">
        <v>394002830</v>
      </c>
      <c r="E13" s="173">
        <v>5582119.2052980131</v>
      </c>
      <c r="F13" s="173">
        <v>13000</v>
      </c>
      <c r="G13" s="182">
        <v>78580718.867924526</v>
      </c>
      <c r="H13" s="39"/>
      <c r="I13" s="137"/>
      <c r="J13" s="137"/>
    </row>
    <row r="14" spans="1:10" x14ac:dyDescent="0.25">
      <c r="A14" s="216" t="s">
        <v>7</v>
      </c>
      <c r="B14" s="173">
        <v>3420000</v>
      </c>
      <c r="C14" s="173">
        <v>19693860</v>
      </c>
      <c r="D14" s="173">
        <v>399530038</v>
      </c>
      <c r="E14" s="173">
        <v>7869920.2367078625</v>
      </c>
      <c r="F14" s="173">
        <v>28825</v>
      </c>
      <c r="G14" s="182">
        <v>79545190.566037729</v>
      </c>
      <c r="H14" s="39"/>
      <c r="I14" s="137"/>
      <c r="J14" s="137"/>
    </row>
    <row r="15" spans="1:10" x14ac:dyDescent="0.25">
      <c r="A15" s="216" t="s">
        <v>8</v>
      </c>
      <c r="B15" s="173">
        <v>3465000</v>
      </c>
      <c r="C15" s="173">
        <v>22299454</v>
      </c>
      <c r="D15" s="173">
        <v>401038845</v>
      </c>
      <c r="E15" s="173">
        <v>4960739.432933935</v>
      </c>
      <c r="F15" s="173">
        <v>219202.5</v>
      </c>
      <c r="G15" s="182">
        <v>83122294.339622632</v>
      </c>
      <c r="H15" s="39"/>
      <c r="I15" s="137"/>
      <c r="J15" s="137"/>
    </row>
    <row r="16" spans="1:10" x14ac:dyDescent="0.25">
      <c r="A16" s="216" t="s">
        <v>9</v>
      </c>
      <c r="B16" s="173"/>
      <c r="C16" s="173"/>
      <c r="D16" s="173"/>
      <c r="E16" s="173"/>
      <c r="F16" s="173"/>
      <c r="G16" s="182"/>
      <c r="H16" s="39"/>
      <c r="I16" s="137"/>
      <c r="J16" s="137"/>
    </row>
    <row r="17" spans="1:13" x14ac:dyDescent="0.25">
      <c r="A17" s="216" t="s">
        <v>10</v>
      </c>
      <c r="B17" s="173"/>
      <c r="C17" s="173"/>
      <c r="D17" s="173"/>
      <c r="E17" s="173"/>
      <c r="F17" s="173"/>
      <c r="G17" s="182"/>
      <c r="H17" s="39"/>
      <c r="I17" s="137"/>
      <c r="J17" s="137"/>
    </row>
    <row r="18" spans="1:13" x14ac:dyDescent="0.25">
      <c r="A18" s="216" t="s">
        <v>11</v>
      </c>
      <c r="B18" s="173"/>
      <c r="C18" s="173"/>
      <c r="D18" s="173"/>
      <c r="E18" s="173"/>
      <c r="F18" s="173"/>
      <c r="G18" s="182"/>
      <c r="H18" s="39"/>
      <c r="I18" s="137"/>
      <c r="J18" s="137"/>
      <c r="K18" s="137"/>
      <c r="L18" s="137"/>
      <c r="M18" s="137"/>
    </row>
    <row r="19" spans="1:13" x14ac:dyDescent="0.25">
      <c r="A19" s="216" t="s">
        <v>12</v>
      </c>
      <c r="B19" s="173"/>
      <c r="C19" s="173"/>
      <c r="D19" s="173"/>
      <c r="E19" s="173"/>
      <c r="F19" s="173"/>
      <c r="G19" s="182"/>
      <c r="H19" s="39"/>
      <c r="I19" s="137"/>
      <c r="J19" s="137"/>
      <c r="K19" s="137"/>
      <c r="L19" s="137"/>
      <c r="M19" s="137"/>
    </row>
    <row r="20" spans="1:13" x14ac:dyDescent="0.25">
      <c r="A20" s="216" t="s">
        <v>13</v>
      </c>
      <c r="B20" s="173"/>
      <c r="C20" s="173"/>
      <c r="D20" s="173"/>
      <c r="E20" s="173"/>
      <c r="F20" s="173"/>
      <c r="G20" s="182"/>
      <c r="H20" s="39"/>
      <c r="I20" s="137"/>
      <c r="J20" s="137"/>
      <c r="K20" s="137"/>
      <c r="L20" s="137"/>
      <c r="M20" s="137"/>
    </row>
    <row r="21" spans="1:13" x14ac:dyDescent="0.25">
      <c r="A21" s="216" t="s">
        <v>14</v>
      </c>
      <c r="B21" s="173"/>
      <c r="C21" s="173"/>
      <c r="D21" s="173"/>
      <c r="E21" s="173"/>
      <c r="F21" s="173"/>
      <c r="G21" s="182"/>
      <c r="H21" s="39"/>
      <c r="I21" s="137"/>
      <c r="J21" s="137"/>
      <c r="K21" s="137"/>
      <c r="L21" s="137"/>
      <c r="M21" s="137"/>
    </row>
    <row r="22" spans="1:13" x14ac:dyDescent="0.25">
      <c r="A22" s="216" t="s">
        <v>22</v>
      </c>
      <c r="B22" s="173"/>
      <c r="C22" s="173"/>
      <c r="D22" s="173"/>
      <c r="E22" s="173"/>
      <c r="F22" s="173"/>
      <c r="G22" s="182"/>
      <c r="H22" s="39"/>
      <c r="I22" s="137"/>
      <c r="J22" s="137"/>
      <c r="K22" s="137"/>
      <c r="L22" s="137"/>
      <c r="M22" s="137"/>
    </row>
    <row r="23" spans="1:13" x14ac:dyDescent="0.25">
      <c r="A23" s="216" t="s">
        <v>23</v>
      </c>
      <c r="B23" s="173"/>
      <c r="C23" s="173"/>
      <c r="D23" s="173"/>
      <c r="E23" s="173"/>
      <c r="F23" s="173"/>
      <c r="G23" s="182"/>
      <c r="H23" s="39"/>
      <c r="I23" s="137"/>
      <c r="J23" s="137"/>
    </row>
    <row r="24" spans="1:13" x14ac:dyDescent="0.25">
      <c r="A24" s="216" t="s">
        <v>24</v>
      </c>
      <c r="B24" s="173"/>
      <c r="C24" s="173"/>
      <c r="D24" s="173"/>
      <c r="E24" s="173"/>
      <c r="F24" s="173"/>
      <c r="G24" s="182"/>
      <c r="H24" s="39"/>
      <c r="I24" s="137"/>
      <c r="J24" s="133"/>
    </row>
    <row r="25" spans="1:13" ht="17.25" customHeight="1" thickBot="1" x14ac:dyDescent="0.3">
      <c r="A25" s="217" t="s">
        <v>15</v>
      </c>
      <c r="B25" s="183">
        <f>SUM(B13:B24)</f>
        <v>10335000</v>
      </c>
      <c r="C25" s="183">
        <f>SUM(C13:C24)</f>
        <v>63238296</v>
      </c>
      <c r="D25" s="183">
        <f>SUM(D13:D24)</f>
        <v>1194571713</v>
      </c>
      <c r="E25" s="183">
        <f>SUM(E13:E24)</f>
        <v>18412778.87493981</v>
      </c>
      <c r="F25" s="183">
        <f t="shared" ref="F25" si="0">SUM(F13:F24)</f>
        <v>261027.5</v>
      </c>
      <c r="G25" s="184">
        <f>SUM(G13:G24)</f>
        <v>241248203.7735849</v>
      </c>
      <c r="H25" s="179"/>
    </row>
    <row r="26" spans="1:13" ht="0.75" customHeight="1" x14ac:dyDescent="0.25">
      <c r="A26" s="174"/>
      <c r="B26" s="177"/>
      <c r="C26" s="176"/>
      <c r="D26" s="176"/>
      <c r="E26" s="175"/>
      <c r="F26" s="175"/>
      <c r="G26" s="178"/>
    </row>
    <row r="27" spans="1:13" ht="3" customHeight="1" x14ac:dyDescent="0.25">
      <c r="A27" s="190"/>
      <c r="B27" s="190"/>
      <c r="C27" s="190"/>
      <c r="D27" s="190"/>
      <c r="E27" s="190"/>
      <c r="F27" s="190"/>
      <c r="G27" s="190"/>
    </row>
    <row r="28" spans="1:13" s="2" customFormat="1" ht="11.25" customHeight="1" x14ac:dyDescent="0.25">
      <c r="A28" s="185" t="s">
        <v>108</v>
      </c>
      <c r="B28" s="191"/>
      <c r="C28" s="185"/>
      <c r="D28" s="185"/>
      <c r="E28" s="185"/>
      <c r="F28" s="185"/>
      <c r="G28" s="185"/>
    </row>
    <row r="29" spans="1:13" s="2" customFormat="1" ht="11.25" customHeight="1" x14ac:dyDescent="0.25">
      <c r="A29" s="187" t="s">
        <v>139</v>
      </c>
      <c r="B29" s="191"/>
      <c r="C29" s="185"/>
      <c r="D29" s="185"/>
      <c r="E29" s="185"/>
      <c r="F29" s="186"/>
      <c r="G29" s="185"/>
    </row>
    <row r="30" spans="1:13" s="2" customFormat="1" ht="13.5" customHeight="1" x14ac:dyDescent="0.25">
      <c r="A30" s="185" t="s">
        <v>122</v>
      </c>
      <c r="B30" s="134"/>
      <c r="C30" s="39"/>
      <c r="D30" s="192"/>
      <c r="F30" s="39"/>
    </row>
    <row r="31" spans="1:13" s="2" customFormat="1" x14ac:dyDescent="0.25">
      <c r="A31" s="185" t="s">
        <v>140</v>
      </c>
      <c r="C31" s="39"/>
    </row>
    <row r="32" spans="1:13" s="2" customFormat="1" x14ac:dyDescent="0.25">
      <c r="A32" s="185" t="s">
        <v>48</v>
      </c>
      <c r="B32" s="133"/>
      <c r="C32" s="133"/>
      <c r="D32" s="133"/>
      <c r="E32" s="133"/>
      <c r="F32" s="133"/>
      <c r="G32" s="39"/>
    </row>
    <row r="33" spans="1:8" s="2" customFormat="1" x14ac:dyDescent="0.25">
      <c r="A33" s="187" t="s">
        <v>146</v>
      </c>
      <c r="E33" s="39"/>
      <c r="G33" s="193"/>
      <c r="H33" s="137"/>
    </row>
    <row r="34" spans="1:8" s="2" customFormat="1" ht="10.5" customHeight="1" x14ac:dyDescent="0.25">
      <c r="A34" s="185" t="s">
        <v>147</v>
      </c>
      <c r="B34" s="39"/>
      <c r="C34" s="39"/>
      <c r="D34" s="39"/>
      <c r="E34" s="39"/>
      <c r="F34" s="39"/>
      <c r="G34" s="39"/>
    </row>
    <row r="35" spans="1:8" s="2" customFormat="1" x14ac:dyDescent="0.25">
      <c r="B35" s="39"/>
      <c r="C35" s="39"/>
      <c r="D35" s="39"/>
      <c r="E35" s="39"/>
      <c r="F35" s="39"/>
      <c r="G35" s="39"/>
    </row>
    <row r="36" spans="1:8" s="2" customFormat="1" x14ac:dyDescent="0.25">
      <c r="B36" s="39"/>
      <c r="C36" s="39"/>
      <c r="D36" s="39"/>
      <c r="E36" s="39"/>
      <c r="F36" s="39"/>
      <c r="G36" s="39"/>
    </row>
    <row r="37" spans="1:8" s="2" customFormat="1" x14ac:dyDescent="0.25">
      <c r="B37" s="39"/>
      <c r="C37" s="39"/>
      <c r="D37" s="39"/>
      <c r="E37" s="39"/>
      <c r="F37" s="39"/>
      <c r="G37" s="39"/>
    </row>
    <row r="38" spans="1:8" s="2" customFormat="1" x14ac:dyDescent="0.25">
      <c r="B38" s="39"/>
      <c r="C38" s="39"/>
      <c r="D38" s="39"/>
      <c r="E38" s="39"/>
      <c r="F38" s="39"/>
      <c r="G38" s="39"/>
    </row>
    <row r="39" spans="1:8" s="2" customFormat="1" x14ac:dyDescent="0.25">
      <c r="B39" s="39"/>
      <c r="C39" s="39"/>
      <c r="D39" s="39"/>
      <c r="E39" s="39"/>
      <c r="F39" s="39"/>
      <c r="G39" s="39"/>
    </row>
    <row r="40" spans="1:8" s="2" customFormat="1" x14ac:dyDescent="0.25">
      <c r="B40" s="39"/>
      <c r="C40" s="39"/>
      <c r="D40" s="39"/>
      <c r="E40" s="39"/>
      <c r="F40" s="39"/>
      <c r="G40" s="39"/>
    </row>
    <row r="41" spans="1:8" s="2" customFormat="1" x14ac:dyDescent="0.25">
      <c r="B41" s="39"/>
      <c r="C41" s="39"/>
      <c r="D41" s="39"/>
      <c r="E41" s="39"/>
      <c r="F41" s="39"/>
      <c r="G41" s="39"/>
    </row>
    <row r="42" spans="1:8" s="2" customFormat="1" x14ac:dyDescent="0.25">
      <c r="B42" s="39"/>
      <c r="C42" s="39"/>
      <c r="D42" s="39"/>
      <c r="E42" s="39"/>
      <c r="F42" s="39"/>
      <c r="G42" s="39"/>
    </row>
    <row r="43" spans="1:8" s="2" customFormat="1" x14ac:dyDescent="0.25">
      <c r="B43" s="39"/>
      <c r="C43" s="39"/>
      <c r="D43" s="39"/>
      <c r="E43" s="39"/>
      <c r="F43" s="39"/>
      <c r="G43" s="39"/>
    </row>
    <row r="44" spans="1:8" s="2" customFormat="1" x14ac:dyDescent="0.25">
      <c r="B44" s="39"/>
      <c r="C44" s="39"/>
      <c r="D44" s="39"/>
      <c r="E44" s="39"/>
      <c r="F44" s="39"/>
      <c r="G44" s="39"/>
    </row>
    <row r="45" spans="1:8" s="2" customFormat="1" x14ac:dyDescent="0.25"/>
    <row r="46" spans="1:8" s="2" customFormat="1" x14ac:dyDescent="0.25"/>
    <row r="47" spans="1:8" s="2" customFormat="1" x14ac:dyDescent="0.25"/>
    <row r="48" spans="1:8" s="2" customFormat="1" x14ac:dyDescent="0.25"/>
    <row r="49" spans="7:7" s="2" customFormat="1" x14ac:dyDescent="0.25"/>
    <row r="50" spans="7:7" s="2" customFormat="1" x14ac:dyDescent="0.25"/>
    <row r="51" spans="7:7" s="2" customFormat="1" x14ac:dyDescent="0.25"/>
    <row r="52" spans="7:7" s="2" customFormat="1" x14ac:dyDescent="0.25"/>
    <row r="53" spans="7:7" s="2" customFormat="1" x14ac:dyDescent="0.25"/>
    <row r="54" spans="7:7" s="2" customFormat="1" x14ac:dyDescent="0.25"/>
    <row r="55" spans="7:7" s="2" customFormat="1" x14ac:dyDescent="0.25"/>
    <row r="56" spans="7:7" s="2" customFormat="1" x14ac:dyDescent="0.25">
      <c r="G56" s="39"/>
    </row>
    <row r="57" spans="7:7" s="2" customFormat="1" x14ac:dyDescent="0.25"/>
    <row r="58" spans="7:7" s="2" customFormat="1" x14ac:dyDescent="0.25"/>
    <row r="59" spans="7:7" s="2" customFormat="1" x14ac:dyDescent="0.25"/>
    <row r="60" spans="7:7" s="2" customFormat="1" x14ac:dyDescent="0.25"/>
    <row r="61" spans="7:7" s="2" customFormat="1" x14ac:dyDescent="0.25"/>
    <row r="62" spans="7:7" s="2" customFormat="1" x14ac:dyDescent="0.25"/>
    <row r="63" spans="7:7" s="2" customFormat="1" x14ac:dyDescent="0.25"/>
    <row r="64" spans="7:7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</sheetData>
  <mergeCells count="5">
    <mergeCell ref="A8:G8"/>
    <mergeCell ref="B10:G10"/>
    <mergeCell ref="A6:G6"/>
    <mergeCell ref="A7:G7"/>
    <mergeCell ref="A10:A11"/>
  </mergeCells>
  <pageMargins left="1.22" right="0.24" top="0.7" bottom="0.74803149606299213" header="0.35433070866141736" footer="0.31496062992125984"/>
  <pageSetup scale="6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2"/>
  <sheetViews>
    <sheetView topLeftCell="A7" workbookViewId="0">
      <selection activeCell="J10" sqref="J10"/>
    </sheetView>
  </sheetViews>
  <sheetFormatPr baseColWidth="10" defaultRowHeight="15" x14ac:dyDescent="0.25"/>
  <cols>
    <col min="1" max="1" width="15.28515625" customWidth="1"/>
    <col min="2" max="2" width="10.7109375" customWidth="1"/>
    <col min="3" max="3" width="10.28515625" customWidth="1"/>
    <col min="4" max="5" width="10.140625" customWidth="1"/>
    <col min="6" max="6" width="9.85546875" customWidth="1"/>
    <col min="7" max="7" width="9.140625" customWidth="1"/>
    <col min="8" max="8" width="14.7109375" style="2" customWidth="1"/>
    <col min="10" max="10" width="14" customWidth="1"/>
  </cols>
  <sheetData>
    <row r="1" spans="1:7" ht="30" customHeight="1" x14ac:dyDescent="0.25">
      <c r="A1" s="2"/>
      <c r="B1" s="2"/>
      <c r="C1" s="2"/>
      <c r="D1" s="2"/>
      <c r="E1" s="2"/>
      <c r="F1" s="2"/>
      <c r="G1" s="2"/>
    </row>
    <row r="2" spans="1:7" ht="27" customHeight="1" x14ac:dyDescent="0.25">
      <c r="A2" s="2"/>
      <c r="B2" s="2"/>
      <c r="C2" s="2"/>
      <c r="D2" s="2"/>
      <c r="E2" s="2"/>
      <c r="F2" s="2"/>
      <c r="G2" s="2"/>
    </row>
    <row r="3" spans="1:7" ht="20.25" customHeight="1" x14ac:dyDescent="0.25">
      <c r="A3" s="201" t="s">
        <v>111</v>
      </c>
      <c r="B3" s="201"/>
      <c r="C3" s="201"/>
      <c r="D3" s="201"/>
      <c r="E3" s="201"/>
      <c r="F3" s="201"/>
      <c r="G3" s="201"/>
    </row>
    <row r="4" spans="1:7" ht="18.75" customHeight="1" x14ac:dyDescent="0.25">
      <c r="A4" s="201" t="s">
        <v>112</v>
      </c>
      <c r="B4" s="201"/>
      <c r="C4" s="201"/>
      <c r="D4" s="201"/>
      <c r="E4" s="201"/>
      <c r="F4" s="201"/>
      <c r="G4" s="201"/>
    </row>
    <row r="5" spans="1:7" ht="15.75" customHeight="1" x14ac:dyDescent="0.25">
      <c r="A5" s="2"/>
      <c r="B5" s="2"/>
      <c r="C5" s="2"/>
      <c r="D5" s="2"/>
      <c r="E5" s="2"/>
      <c r="F5" s="2"/>
      <c r="G5" s="2"/>
    </row>
    <row r="6" spans="1:7" ht="45" customHeight="1" thickBot="1" x14ac:dyDescent="0.3">
      <c r="A6" s="212" t="s">
        <v>135</v>
      </c>
      <c r="B6" s="212"/>
      <c r="C6" s="212"/>
      <c r="D6" s="212"/>
      <c r="E6" s="212"/>
      <c r="F6" s="212"/>
      <c r="G6" s="212"/>
    </row>
    <row r="7" spans="1:7" ht="19.5" customHeight="1" x14ac:dyDescent="0.25">
      <c r="A7" s="157"/>
      <c r="B7" s="209" t="s">
        <v>132</v>
      </c>
      <c r="C7" s="209"/>
      <c r="D7" s="210"/>
      <c r="E7" s="209" t="s">
        <v>134</v>
      </c>
      <c r="F7" s="209"/>
      <c r="G7" s="210"/>
    </row>
    <row r="8" spans="1:7" ht="32.25" customHeight="1" thickBot="1" x14ac:dyDescent="0.3">
      <c r="A8" s="158" t="s">
        <v>0</v>
      </c>
      <c r="B8" s="162" t="s">
        <v>127</v>
      </c>
      <c r="C8" s="159" t="s">
        <v>128</v>
      </c>
      <c r="D8" s="162" t="s">
        <v>129</v>
      </c>
      <c r="E8" s="162" t="s">
        <v>127</v>
      </c>
      <c r="F8" s="159" t="s">
        <v>128</v>
      </c>
      <c r="G8" s="163" t="s">
        <v>129</v>
      </c>
    </row>
    <row r="9" spans="1:7" ht="19.5" customHeight="1" x14ac:dyDescent="0.25">
      <c r="A9" s="160" t="s">
        <v>131</v>
      </c>
      <c r="B9" s="131">
        <v>740.75</v>
      </c>
      <c r="C9" s="131">
        <v>142.38</v>
      </c>
      <c r="D9" s="131">
        <v>366.03</v>
      </c>
      <c r="E9" s="154"/>
      <c r="F9" s="154"/>
      <c r="G9" s="154"/>
    </row>
    <row r="10" spans="1:7" ht="19.5" customHeight="1" x14ac:dyDescent="0.25">
      <c r="A10" s="160" t="s">
        <v>130</v>
      </c>
      <c r="B10" s="131">
        <v>734.8</v>
      </c>
      <c r="C10" s="131">
        <v>156.71</v>
      </c>
      <c r="D10" s="131">
        <v>387.13</v>
      </c>
      <c r="E10" s="164">
        <f>+((B10/B9)-1)*100</f>
        <v>-0.80323995950051241</v>
      </c>
      <c r="F10" s="164">
        <f>+((C10/C9)-1)*100</f>
        <v>10.064615816828226</v>
      </c>
      <c r="G10" s="164">
        <f t="shared" ref="G10:G11" si="0">+((D10/D9)-1)*100</f>
        <v>5.7645548179111161</v>
      </c>
    </row>
    <row r="11" spans="1:7" ht="19.5" customHeight="1" x14ac:dyDescent="0.25">
      <c r="A11" s="160" t="s">
        <v>126</v>
      </c>
      <c r="B11" s="131">
        <v>808.43</v>
      </c>
      <c r="C11" s="131">
        <v>163.61000000000001</v>
      </c>
      <c r="D11" s="131">
        <v>419.31</v>
      </c>
      <c r="E11" s="164">
        <f t="shared" ref="E11" si="1">+((B11/B10)-1)*100</f>
        <v>10.020413718018517</v>
      </c>
      <c r="F11" s="164">
        <f t="shared" ref="F11" si="2">+((C11/C10)-1)*100</f>
        <v>4.4030374577244569</v>
      </c>
      <c r="G11" s="164">
        <f t="shared" si="0"/>
        <v>8.3124531811019651</v>
      </c>
    </row>
    <row r="12" spans="1:7" ht="15.75" customHeight="1" x14ac:dyDescent="0.25">
      <c r="A12" s="160" t="s">
        <v>124</v>
      </c>
      <c r="B12" s="131">
        <v>880.97</v>
      </c>
      <c r="C12" s="131">
        <v>171.44</v>
      </c>
      <c r="D12" s="131">
        <v>445.39</v>
      </c>
      <c r="E12" s="164">
        <f>+((B12/B11)-1)*100</f>
        <v>8.9729475650334614</v>
      </c>
      <c r="F12" s="164">
        <f>+((C12/C11)-1)*100</f>
        <v>4.7857710408899079</v>
      </c>
      <c r="G12" s="164">
        <f>+((D12/D11)-1)*100</f>
        <v>6.2197419570246382</v>
      </c>
    </row>
    <row r="13" spans="1:7" ht="6.75" customHeight="1" x14ac:dyDescent="0.25">
      <c r="A13" s="161"/>
      <c r="B13" s="161"/>
      <c r="C13" s="161"/>
      <c r="D13" s="161"/>
      <c r="E13" s="161"/>
      <c r="F13" s="161"/>
      <c r="G13" s="161"/>
    </row>
    <row r="14" spans="1:7" ht="15.75" customHeight="1" x14ac:dyDescent="0.25">
      <c r="A14" s="146"/>
      <c r="B14" s="165"/>
      <c r="C14" s="156"/>
      <c r="D14" s="156"/>
      <c r="E14" s="156"/>
      <c r="F14" s="154"/>
      <c r="G14" s="154"/>
    </row>
    <row r="15" spans="1:7" ht="15.75" customHeight="1" x14ac:dyDescent="0.25">
      <c r="A15" s="146"/>
      <c r="B15" s="156"/>
      <c r="C15" s="156"/>
      <c r="D15" s="156"/>
      <c r="E15" s="156"/>
      <c r="F15" s="154"/>
      <c r="G15" s="154"/>
    </row>
    <row r="16" spans="1:7" ht="15.75" customHeight="1" x14ac:dyDescent="0.25">
      <c r="A16" s="31"/>
      <c r="B16" s="156"/>
      <c r="C16" s="156"/>
      <c r="D16" s="156"/>
      <c r="E16" s="156"/>
      <c r="F16" s="154"/>
      <c r="G16" s="154"/>
    </row>
    <row r="17" spans="1:10" ht="15.75" customHeight="1" x14ac:dyDescent="0.25">
      <c r="A17" s="2"/>
      <c r="B17" s="156"/>
      <c r="C17" s="156"/>
      <c r="D17" s="156"/>
      <c r="E17" s="156"/>
      <c r="F17" s="154"/>
      <c r="G17" s="154"/>
    </row>
    <row r="18" spans="1:10" x14ac:dyDescent="0.25">
      <c r="A18" s="2"/>
      <c r="B18" s="2"/>
      <c r="C18" s="2"/>
      <c r="D18" s="2"/>
      <c r="E18" s="2"/>
      <c r="F18" s="2"/>
      <c r="G18" s="155"/>
      <c r="H18" s="155"/>
      <c r="I18" s="155"/>
    </row>
    <row r="19" spans="1:10" ht="41.25" customHeight="1" thickBot="1" x14ac:dyDescent="0.3">
      <c r="A19" s="211" t="s">
        <v>133</v>
      </c>
      <c r="B19" s="211"/>
      <c r="C19" s="211"/>
      <c r="D19" s="211"/>
      <c r="E19" s="211"/>
      <c r="F19" s="211"/>
      <c r="G19" s="211"/>
      <c r="H19" s="131"/>
      <c r="I19" s="131"/>
      <c r="J19" s="131"/>
    </row>
    <row r="20" spans="1:10" x14ac:dyDescent="0.25">
      <c r="A20" s="157"/>
      <c r="B20" s="209" t="s">
        <v>132</v>
      </c>
      <c r="C20" s="209"/>
      <c r="D20" s="210"/>
      <c r="E20" s="209" t="s">
        <v>134</v>
      </c>
      <c r="F20" s="209"/>
      <c r="G20" s="210"/>
    </row>
    <row r="21" spans="1:10" ht="30.75" thickBot="1" x14ac:dyDescent="0.3">
      <c r="A21" s="158" t="s">
        <v>0</v>
      </c>
      <c r="B21" s="162" t="s">
        <v>127</v>
      </c>
      <c r="C21" s="159" t="s">
        <v>128</v>
      </c>
      <c r="D21" s="162" t="s">
        <v>129</v>
      </c>
      <c r="E21" s="162" t="s">
        <v>127</v>
      </c>
      <c r="F21" s="159" t="s">
        <v>128</v>
      </c>
      <c r="G21" s="163" t="s">
        <v>129</v>
      </c>
    </row>
    <row r="22" spans="1:10" x14ac:dyDescent="0.25">
      <c r="A22" s="160" t="s">
        <v>131</v>
      </c>
      <c r="B22" s="131">
        <v>876.97</v>
      </c>
      <c r="C22" s="131">
        <v>233.18</v>
      </c>
      <c r="D22" s="131">
        <v>447.41</v>
      </c>
      <c r="E22" s="154"/>
      <c r="F22" s="154"/>
      <c r="G22" s="154"/>
    </row>
    <row r="23" spans="1:10" ht="18" customHeight="1" x14ac:dyDescent="0.25">
      <c r="A23" s="160" t="s">
        <v>130</v>
      </c>
      <c r="B23" s="131">
        <v>883.36</v>
      </c>
      <c r="C23" s="131">
        <v>254.77</v>
      </c>
      <c r="D23" s="131">
        <v>500.53</v>
      </c>
      <c r="E23" s="164">
        <f>+((B23/B22)-1)*100</f>
        <v>0.72864522161533163</v>
      </c>
      <c r="F23" s="164">
        <f>+((C23/C22)-1)*100</f>
        <v>9.2589415901878311</v>
      </c>
      <c r="G23" s="164">
        <f>+((D23/D22)-1)*100</f>
        <v>11.872778882903813</v>
      </c>
    </row>
    <row r="24" spans="1:10" x14ac:dyDescent="0.25">
      <c r="A24" s="160" t="s">
        <v>126</v>
      </c>
      <c r="B24" s="131">
        <v>886.01</v>
      </c>
      <c r="C24" s="131">
        <v>275.06</v>
      </c>
      <c r="D24" s="131">
        <v>563.34</v>
      </c>
      <c r="E24" s="164">
        <f t="shared" ref="E24" si="3">+((B24/B23)-1)*100</f>
        <v>0.29999094366961465</v>
      </c>
      <c r="F24" s="164">
        <f t="shared" ref="F24" si="4">+((C24/C23)-1)*100</f>
        <v>7.9640460022765591</v>
      </c>
      <c r="G24" s="164">
        <f t="shared" ref="G24" si="5">+((D24/D23)-1)*100</f>
        <v>12.548698379717504</v>
      </c>
    </row>
    <row r="25" spans="1:10" ht="17.25" customHeight="1" x14ac:dyDescent="0.25">
      <c r="A25" s="160" t="s">
        <v>124</v>
      </c>
      <c r="B25" s="131">
        <v>938.68</v>
      </c>
      <c r="C25" s="131">
        <v>295.33999999999997</v>
      </c>
      <c r="D25" s="131">
        <v>598.16999999999996</v>
      </c>
      <c r="E25" s="164">
        <f>+((B25/B24)-1)*100</f>
        <v>5.944628164467658</v>
      </c>
      <c r="F25" s="164">
        <f>+((C25/C24)-1)*100</f>
        <v>7.3729368137860796</v>
      </c>
      <c r="G25" s="164">
        <f>+((D25/D24)-1)*100</f>
        <v>6.1827670678453295</v>
      </c>
    </row>
    <row r="26" spans="1:10" ht="6" customHeight="1" x14ac:dyDescent="0.25">
      <c r="A26" s="161"/>
      <c r="B26" s="161"/>
      <c r="C26" s="161"/>
      <c r="D26" s="161"/>
      <c r="E26" s="161"/>
      <c r="F26" s="161"/>
      <c r="G26" s="161"/>
    </row>
    <row r="27" spans="1:10" s="2" customFormat="1" ht="15.75" customHeight="1" x14ac:dyDescent="0.25">
      <c r="A27" s="146" t="s">
        <v>136</v>
      </c>
      <c r="B27" s="156"/>
      <c r="C27" s="156"/>
      <c r="D27" s="156"/>
      <c r="E27" s="156"/>
      <c r="F27" s="156"/>
      <c r="G27" s="156"/>
    </row>
    <row r="28" spans="1:10" s="2" customFormat="1" ht="4.5" customHeight="1" x14ac:dyDescent="0.25">
      <c r="A28" s="156"/>
      <c r="B28" s="156"/>
      <c r="C28" s="156"/>
      <c r="D28" s="156"/>
      <c r="E28" s="156"/>
      <c r="F28" s="156"/>
      <c r="G28" s="156"/>
    </row>
    <row r="29" spans="1:10" x14ac:dyDescent="0.25">
      <c r="A29" s="146" t="s">
        <v>138</v>
      </c>
      <c r="B29" s="2"/>
      <c r="C29" s="2"/>
      <c r="D29" s="2"/>
      <c r="E29" s="2"/>
      <c r="F29" s="2"/>
      <c r="G29" s="2"/>
    </row>
    <row r="30" spans="1:10" x14ac:dyDescent="0.25">
      <c r="A30" s="31" t="s">
        <v>107</v>
      </c>
      <c r="B30" s="2"/>
      <c r="C30" s="2"/>
      <c r="D30" s="2"/>
      <c r="E30" s="2"/>
      <c r="F30" s="2"/>
      <c r="G30" s="2"/>
    </row>
    <row r="31" spans="1:10" x14ac:dyDescent="0.25">
      <c r="A31" s="2"/>
      <c r="B31" s="2"/>
      <c r="C31" s="2"/>
      <c r="D31" s="2"/>
      <c r="E31" s="2"/>
      <c r="F31" s="2"/>
      <c r="G31" s="2"/>
    </row>
    <row r="32" spans="1:10" x14ac:dyDescent="0.25">
      <c r="A32" t="s">
        <v>137</v>
      </c>
      <c r="B32" s="2"/>
      <c r="C32" s="2"/>
      <c r="D32" s="2"/>
      <c r="E32" s="2"/>
      <c r="F32" s="2"/>
      <c r="G32" s="2"/>
    </row>
  </sheetData>
  <mergeCells count="8">
    <mergeCell ref="A3:G3"/>
    <mergeCell ref="A4:G4"/>
    <mergeCell ref="B7:D7"/>
    <mergeCell ref="B20:D20"/>
    <mergeCell ref="E7:G7"/>
    <mergeCell ref="E20:G20"/>
    <mergeCell ref="A19:G19"/>
    <mergeCell ref="A6:G6"/>
  </mergeCells>
  <phoneticPr fontId="34" type="noConversion"/>
  <pageMargins left="1.1399999999999999" right="0.7" top="0.75" bottom="0.75" header="0.3" footer="0.3"/>
  <pageSetup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-0.249977111117893"/>
    <pageSetUpPr fitToPage="1"/>
  </sheetPr>
  <dimension ref="A2:L53"/>
  <sheetViews>
    <sheetView topLeftCell="A10" workbookViewId="0">
      <selection activeCell="A15" sqref="A15"/>
    </sheetView>
  </sheetViews>
  <sheetFormatPr baseColWidth="10" defaultColWidth="9.140625" defaultRowHeight="15" x14ac:dyDescent="0.25"/>
  <cols>
    <col min="1" max="1" width="20.5703125" customWidth="1"/>
    <col min="2" max="2" width="17.7109375" customWidth="1"/>
    <col min="3" max="3" width="15.28515625" customWidth="1"/>
    <col min="4" max="4" width="21.140625" customWidth="1"/>
    <col min="5" max="5" width="20.85546875" customWidth="1"/>
    <col min="6" max="6" width="15.140625" style="96" customWidth="1"/>
    <col min="7" max="7" width="17.28515625" style="96" customWidth="1"/>
    <col min="8" max="8" width="16.42578125" style="96" customWidth="1"/>
    <col min="9" max="9" width="18.7109375" style="98" customWidth="1"/>
    <col min="10" max="10" width="16.140625" style="98" customWidth="1"/>
    <col min="11" max="11" width="16.85546875" style="98" customWidth="1"/>
    <col min="12" max="12" width="14.85546875" style="98" customWidth="1"/>
    <col min="13" max="13" width="14.140625" bestFit="1" customWidth="1"/>
    <col min="14" max="14" width="15.140625" bestFit="1" customWidth="1"/>
    <col min="15" max="15" width="14.140625" bestFit="1" customWidth="1"/>
    <col min="16" max="16" width="11.5703125" bestFit="1" customWidth="1"/>
    <col min="17" max="17" width="15.140625" bestFit="1" customWidth="1"/>
  </cols>
  <sheetData>
    <row r="2" spans="1:12" x14ac:dyDescent="0.25">
      <c r="A2" s="2"/>
      <c r="B2" s="2"/>
      <c r="C2" s="2"/>
      <c r="D2" s="2"/>
      <c r="E2" s="2"/>
    </row>
    <row r="3" spans="1:12" ht="15.75" x14ac:dyDescent="0.25">
      <c r="A3" s="196" t="s">
        <v>49</v>
      </c>
      <c r="B3" s="196"/>
      <c r="C3" s="196"/>
      <c r="D3" s="196"/>
      <c r="E3" s="196"/>
    </row>
    <row r="4" spans="1:12" ht="15.75" x14ac:dyDescent="0.25">
      <c r="A4" s="213" t="s">
        <v>106</v>
      </c>
      <c r="B4" s="213"/>
      <c r="C4" s="213"/>
      <c r="D4" s="213"/>
      <c r="E4" s="213"/>
    </row>
    <row r="5" spans="1:12" ht="6" customHeight="1" x14ac:dyDescent="0.25">
      <c r="A5" s="70"/>
      <c r="B5" s="70"/>
      <c r="C5" s="70"/>
      <c r="D5" s="70"/>
      <c r="E5" s="70"/>
    </row>
    <row r="6" spans="1:12" ht="63.75" customHeight="1" x14ac:dyDescent="0.25">
      <c r="A6" s="80" t="s">
        <v>50</v>
      </c>
      <c r="B6" s="7" t="s">
        <v>51</v>
      </c>
      <c r="C6" s="7" t="s">
        <v>103</v>
      </c>
      <c r="D6" s="7" t="s">
        <v>104</v>
      </c>
      <c r="E6" s="124" t="s">
        <v>105</v>
      </c>
      <c r="F6" s="214"/>
      <c r="G6" s="214"/>
      <c r="H6" s="214"/>
      <c r="I6" s="97"/>
      <c r="J6" s="97"/>
      <c r="K6" s="97"/>
    </row>
    <row r="7" spans="1:12" ht="3.75" customHeight="1" x14ac:dyDescent="0.25">
      <c r="A7" s="71"/>
      <c r="B7" s="71"/>
      <c r="C7" s="72"/>
      <c r="D7" s="11"/>
      <c r="E7" s="1"/>
      <c r="I7" s="96"/>
      <c r="J7" s="96"/>
      <c r="K7" s="96"/>
    </row>
    <row r="8" spans="1:12" x14ac:dyDescent="0.25">
      <c r="A8" s="73" t="s">
        <v>66</v>
      </c>
      <c r="B8" s="110" t="s">
        <v>59</v>
      </c>
      <c r="C8" s="74" t="e">
        <f>+'Datos Mensuales'!#REF!</f>
        <v>#REF!</v>
      </c>
      <c r="D8" s="74" t="e">
        <f>+'Datos Mensuales'!#REF!</f>
        <v>#REF!</v>
      </c>
      <c r="E8" s="75" t="e">
        <f>((D8/C8)-1)</f>
        <v>#REF!</v>
      </c>
      <c r="F8" s="14"/>
      <c r="G8" s="107"/>
      <c r="H8" s="104"/>
      <c r="I8" s="41"/>
      <c r="J8" s="41"/>
      <c r="K8" s="41"/>
    </row>
    <row r="9" spans="1:12" x14ac:dyDescent="0.25">
      <c r="A9" s="73" t="s">
        <v>52</v>
      </c>
      <c r="B9" s="110" t="s">
        <v>60</v>
      </c>
      <c r="C9" s="76" t="e">
        <f>+'Datos Mensuales'!#REF!</f>
        <v>#REF!</v>
      </c>
      <c r="D9" s="74" t="e">
        <f>+'Datos Mensuales'!#REF!</f>
        <v>#REF!</v>
      </c>
      <c r="E9" s="75" t="e">
        <f>((D9/C9)-1)</f>
        <v>#REF!</v>
      </c>
      <c r="F9" s="14"/>
      <c r="G9" s="108"/>
      <c r="I9" s="96"/>
      <c r="J9" s="96"/>
      <c r="K9" s="96"/>
      <c r="L9" s="96"/>
    </row>
    <row r="10" spans="1:12" x14ac:dyDescent="0.25">
      <c r="A10" s="73" t="s">
        <v>53</v>
      </c>
      <c r="B10" s="110" t="s">
        <v>60</v>
      </c>
      <c r="C10" s="74" t="e">
        <f>+'Datos Mensuales'!#REF!</f>
        <v>#REF!</v>
      </c>
      <c r="D10" s="74" t="e">
        <f>+'Datos Mensuales'!#REF!</f>
        <v>#REF!</v>
      </c>
      <c r="E10" s="75" t="e">
        <f>((D10/C10)-1)</f>
        <v>#REF!</v>
      </c>
      <c r="F10" s="14"/>
      <c r="G10" s="107"/>
      <c r="H10" s="97"/>
      <c r="I10" s="96"/>
      <c r="J10" s="96"/>
      <c r="K10" s="96"/>
      <c r="L10" s="96"/>
    </row>
    <row r="11" spans="1:12" x14ac:dyDescent="0.25">
      <c r="A11" s="73" t="s">
        <v>63</v>
      </c>
      <c r="B11" s="110" t="s">
        <v>59</v>
      </c>
      <c r="C11" s="76" t="e">
        <f>+'Datos Mensuales'!#REF!</f>
        <v>#REF!</v>
      </c>
      <c r="D11" s="74" t="e">
        <f>+'Datos Mensuales'!#REF!</f>
        <v>#REF!</v>
      </c>
      <c r="E11" s="75" t="e">
        <f t="shared" ref="E11:E13" si="0">((D11/C11)-1)</f>
        <v>#REF!</v>
      </c>
      <c r="F11" s="14"/>
      <c r="G11" s="107"/>
      <c r="I11" s="97"/>
      <c r="J11" s="96"/>
      <c r="K11" s="97"/>
      <c r="L11" s="99"/>
    </row>
    <row r="12" spans="1:12" x14ac:dyDescent="0.25">
      <c r="A12" s="73" t="s">
        <v>64</v>
      </c>
      <c r="B12" s="110" t="s">
        <v>59</v>
      </c>
      <c r="C12" s="76" t="e">
        <f>+'Datos Mensuales'!#REF!</f>
        <v>#REF!</v>
      </c>
      <c r="D12" s="74" t="e">
        <f>+'Datos Mensuales'!#REF!</f>
        <v>#REF!</v>
      </c>
      <c r="E12" s="75" t="e">
        <f t="shared" si="0"/>
        <v>#REF!</v>
      </c>
      <c r="F12" s="14"/>
      <c r="G12" s="105"/>
      <c r="I12" s="97"/>
      <c r="J12" s="96"/>
      <c r="K12" s="96"/>
      <c r="L12" s="99"/>
    </row>
    <row r="13" spans="1:12" x14ac:dyDescent="0.25">
      <c r="A13" s="73" t="s">
        <v>65</v>
      </c>
      <c r="B13" s="110" t="s">
        <v>61</v>
      </c>
      <c r="C13" s="76" t="e">
        <f>+'Datos Mensuales'!#REF!</f>
        <v>#REF!</v>
      </c>
      <c r="D13" s="74" t="e">
        <f>+'Datos Mensuales'!#REF!</f>
        <v>#REF!</v>
      </c>
      <c r="E13" s="75" t="e">
        <f t="shared" si="0"/>
        <v>#REF!</v>
      </c>
      <c r="F13" s="14"/>
      <c r="G13" s="105"/>
      <c r="H13" s="97"/>
      <c r="I13" s="97"/>
      <c r="J13" s="96"/>
      <c r="K13" s="96"/>
      <c r="L13" s="99"/>
    </row>
    <row r="14" spans="1:12" ht="8.25" customHeight="1" x14ac:dyDescent="0.25">
      <c r="A14" s="8"/>
      <c r="B14" s="8"/>
      <c r="C14" s="8"/>
      <c r="D14" s="8"/>
      <c r="E14" s="8"/>
      <c r="F14" s="104"/>
      <c r="G14" s="109"/>
      <c r="I14" s="96"/>
      <c r="J14" s="96"/>
      <c r="K14" s="96"/>
    </row>
    <row r="15" spans="1:12" x14ac:dyDescent="0.25">
      <c r="A15" s="3"/>
      <c r="B15" s="3"/>
      <c r="C15" s="4"/>
      <c r="D15" s="4"/>
      <c r="E15" s="1"/>
      <c r="F15" s="104"/>
      <c r="G15" s="98"/>
      <c r="I15" s="96"/>
      <c r="J15" s="96"/>
      <c r="K15" s="96"/>
    </row>
    <row r="16" spans="1:12" x14ac:dyDescent="0.25">
      <c r="A16" s="3"/>
      <c r="B16" s="3"/>
      <c r="C16" s="4"/>
      <c r="D16" s="4"/>
      <c r="E16" s="1"/>
      <c r="F16" s="97"/>
      <c r="I16" s="96"/>
      <c r="J16" s="96"/>
      <c r="K16" s="96"/>
    </row>
    <row r="17" spans="1:11" x14ac:dyDescent="0.25">
      <c r="A17" s="3" t="s">
        <v>16</v>
      </c>
      <c r="B17" s="3"/>
      <c r="C17" s="4"/>
      <c r="D17" s="4"/>
      <c r="E17" s="1"/>
      <c r="F17" s="97"/>
      <c r="H17" s="104"/>
      <c r="I17" s="96"/>
      <c r="J17" s="96"/>
      <c r="K17" s="96"/>
    </row>
    <row r="18" spans="1:11" x14ac:dyDescent="0.25">
      <c r="A18" s="3" t="s">
        <v>47</v>
      </c>
      <c r="B18" s="3"/>
      <c r="C18" s="4"/>
      <c r="D18" s="4"/>
      <c r="E18" s="1"/>
      <c r="F18" s="97"/>
      <c r="G18" s="97"/>
      <c r="H18" s="97"/>
      <c r="I18" s="96"/>
      <c r="J18" s="96"/>
      <c r="K18" s="96"/>
    </row>
    <row r="19" spans="1:11" x14ac:dyDescent="0.25">
      <c r="A19" s="20" t="s">
        <v>96</v>
      </c>
      <c r="B19" s="20"/>
      <c r="C19" s="21"/>
      <c r="D19" s="21"/>
      <c r="E19" s="1"/>
      <c r="F19" s="97"/>
      <c r="H19" s="97"/>
      <c r="I19" s="96"/>
      <c r="J19" s="96"/>
      <c r="K19" s="96"/>
    </row>
    <row r="20" spans="1:11" x14ac:dyDescent="0.25">
      <c r="A20" s="3" t="s">
        <v>97</v>
      </c>
      <c r="B20" s="3"/>
      <c r="C20" s="21"/>
      <c r="D20" s="21"/>
      <c r="E20" s="1"/>
      <c r="F20" s="97"/>
      <c r="G20" s="97"/>
      <c r="I20" s="96"/>
      <c r="J20" s="96"/>
      <c r="K20" s="96"/>
    </row>
    <row r="21" spans="1:11" x14ac:dyDescent="0.25">
      <c r="A21" s="3" t="s">
        <v>98</v>
      </c>
      <c r="B21" s="3"/>
      <c r="C21" s="21"/>
      <c r="D21" s="21"/>
      <c r="E21" s="1"/>
      <c r="F21" s="97"/>
      <c r="I21" s="96"/>
      <c r="J21" s="96"/>
      <c r="K21" s="96"/>
    </row>
    <row r="22" spans="1:11" x14ac:dyDescent="0.25">
      <c r="A22" s="122" t="s">
        <v>99</v>
      </c>
      <c r="B22" s="3"/>
      <c r="C22" s="4"/>
      <c r="D22" s="4"/>
      <c r="E22" s="1"/>
      <c r="I22" s="96"/>
      <c r="J22" s="96"/>
      <c r="K22" s="96"/>
    </row>
    <row r="23" spans="1:11" x14ac:dyDescent="0.25">
      <c r="A23" s="3"/>
      <c r="B23" s="3"/>
      <c r="C23" s="4"/>
      <c r="D23" s="4"/>
      <c r="E23" s="1"/>
      <c r="I23" s="96"/>
      <c r="J23" s="96"/>
      <c r="K23" s="96"/>
    </row>
    <row r="24" spans="1:11" ht="15.75" customHeight="1" x14ac:dyDescent="0.25">
      <c r="A24" s="196" t="s">
        <v>49</v>
      </c>
      <c r="B24" s="196"/>
      <c r="C24" s="196"/>
      <c r="D24" s="196"/>
      <c r="E24" s="77"/>
      <c r="J24" s="100"/>
    </row>
    <row r="25" spans="1:11" ht="20.25" x14ac:dyDescent="0.25">
      <c r="A25" s="213" t="s">
        <v>102</v>
      </c>
      <c r="B25" s="213"/>
      <c r="C25" s="213"/>
      <c r="D25" s="213"/>
      <c r="E25" s="91"/>
      <c r="J25" s="101"/>
    </row>
    <row r="26" spans="1:11" ht="5.25" customHeight="1" x14ac:dyDescent="0.25">
      <c r="A26" s="70"/>
      <c r="B26" s="70"/>
      <c r="C26" s="70"/>
      <c r="D26" s="70"/>
      <c r="E26" s="70"/>
      <c r="J26" s="102"/>
    </row>
    <row r="27" spans="1:11" ht="63.75" customHeight="1" x14ac:dyDescent="0.25">
      <c r="A27" s="80" t="s">
        <v>50</v>
      </c>
      <c r="B27" s="7" t="s">
        <v>103</v>
      </c>
      <c r="C27" s="7" t="s">
        <v>104</v>
      </c>
      <c r="D27" s="9" t="s">
        <v>105</v>
      </c>
    </row>
    <row r="28" spans="1:11" ht="5.25" customHeight="1" x14ac:dyDescent="0.25">
      <c r="A28" s="71"/>
      <c r="B28" s="72"/>
      <c r="C28" s="11"/>
      <c r="D28" s="1"/>
    </row>
    <row r="29" spans="1:11" x14ac:dyDescent="0.25">
      <c r="A29" s="73" t="s">
        <v>66</v>
      </c>
      <c r="B29" s="76" t="e">
        <f>+((C8/100)*(166.67))/100</f>
        <v>#REF!</v>
      </c>
      <c r="C29" s="76" t="e">
        <f>+((D8/100)*(166.67))/100</f>
        <v>#REF!</v>
      </c>
      <c r="D29" s="75" t="e">
        <f>((C29/B29)-1)</f>
        <v>#REF!</v>
      </c>
    </row>
    <row r="30" spans="1:11" x14ac:dyDescent="0.25">
      <c r="A30" s="73" t="s">
        <v>52</v>
      </c>
      <c r="B30" s="76" t="e">
        <f>+(C9*3.6)/100</f>
        <v>#REF!</v>
      </c>
      <c r="C30" s="76" t="e">
        <f>+(D9*3.6)/100</f>
        <v>#REF!</v>
      </c>
      <c r="D30" s="75" t="e">
        <f t="shared" ref="D30" si="1">((C30/B30)-1)</f>
        <v>#REF!</v>
      </c>
    </row>
    <row r="31" spans="1:11" ht="15.75" x14ac:dyDescent="0.25">
      <c r="A31" s="73" t="s">
        <v>53</v>
      </c>
      <c r="B31" s="76" t="e">
        <f>+(C10*0.16)/100</f>
        <v>#REF!</v>
      </c>
      <c r="C31" s="76" t="e">
        <f>+(D10*0.16)/100</f>
        <v>#REF!</v>
      </c>
      <c r="D31" s="75" t="e">
        <f>((C31/B31)-1)</f>
        <v>#REF!</v>
      </c>
      <c r="G31" s="106"/>
      <c r="I31" s="97"/>
    </row>
    <row r="32" spans="1:11" x14ac:dyDescent="0.25">
      <c r="A32" s="73" t="s">
        <v>63</v>
      </c>
      <c r="B32" s="76" t="e">
        <f>+(C11/1000)*22.046</f>
        <v>#REF!</v>
      </c>
      <c r="C32" s="76" t="e">
        <f>+(D11/1000)*22.046</f>
        <v>#REF!</v>
      </c>
      <c r="D32" s="75" t="e">
        <f t="shared" ref="D32:D34" si="2">((C32/B32)-1)</f>
        <v>#REF!</v>
      </c>
    </row>
    <row r="33" spans="1:10" x14ac:dyDescent="0.25">
      <c r="A33" s="73" t="s">
        <v>64</v>
      </c>
      <c r="B33" s="76" t="e">
        <f>+(C12/1000)*22.046</f>
        <v>#REF!</v>
      </c>
      <c r="C33" s="76" t="e">
        <f>+(D12/1000)*22.046</f>
        <v>#REF!</v>
      </c>
      <c r="D33" s="75" t="e">
        <f t="shared" si="2"/>
        <v>#REF!</v>
      </c>
    </row>
    <row r="34" spans="1:10" x14ac:dyDescent="0.25">
      <c r="A34" s="73" t="s">
        <v>89</v>
      </c>
      <c r="B34" s="76" t="e">
        <f>+(C13*2.26)/100</f>
        <v>#REF!</v>
      </c>
      <c r="C34" s="76" t="e">
        <f>+(D13*2.26)/100</f>
        <v>#REF!</v>
      </c>
      <c r="D34" s="75" t="e">
        <f t="shared" si="2"/>
        <v>#REF!</v>
      </c>
      <c r="H34" s="97"/>
      <c r="I34" s="96"/>
    </row>
    <row r="35" spans="1:10" x14ac:dyDescent="0.25">
      <c r="A35" s="92" t="s">
        <v>76</v>
      </c>
      <c r="B35" s="93" t="e">
        <f>SUM(B29:B34)</f>
        <v>#REF!</v>
      </c>
      <c r="C35" s="93" t="e">
        <f>SUM(C29:C34)</f>
        <v>#REF!</v>
      </c>
      <c r="D35" s="94" t="e">
        <f>((C35/B35)-1)</f>
        <v>#REF!</v>
      </c>
      <c r="J35" s="103"/>
    </row>
    <row r="36" spans="1:10" ht="15.75" x14ac:dyDescent="0.25">
      <c r="A36" s="3"/>
      <c r="B36" s="3"/>
      <c r="C36" s="4"/>
      <c r="D36" s="4"/>
      <c r="E36" s="1"/>
      <c r="H36" s="106"/>
      <c r="I36" s="97"/>
      <c r="J36" s="103"/>
    </row>
    <row r="37" spans="1:10" x14ac:dyDescent="0.25">
      <c r="A37" s="3"/>
      <c r="B37" s="3"/>
      <c r="C37" s="4"/>
      <c r="D37" s="4"/>
      <c r="E37" s="1"/>
      <c r="J37" s="103"/>
    </row>
    <row r="38" spans="1:10" x14ac:dyDescent="0.25">
      <c r="A38" s="3" t="s">
        <v>16</v>
      </c>
      <c r="B38" s="3"/>
      <c r="C38" s="4"/>
      <c r="D38" s="4"/>
      <c r="E38" s="1"/>
      <c r="I38" s="97"/>
      <c r="J38" s="103"/>
    </row>
    <row r="39" spans="1:10" x14ac:dyDescent="0.25">
      <c r="A39" s="3" t="s">
        <v>47</v>
      </c>
      <c r="B39" s="3"/>
      <c r="C39" s="4"/>
      <c r="D39" s="4"/>
      <c r="E39" s="1"/>
      <c r="J39" s="103"/>
    </row>
    <row r="40" spans="1:10" x14ac:dyDescent="0.25">
      <c r="A40" s="20" t="s">
        <v>96</v>
      </c>
      <c r="B40" s="20"/>
      <c r="C40" s="21"/>
      <c r="D40" s="21"/>
      <c r="E40" s="1"/>
      <c r="I40" s="97"/>
      <c r="J40" s="103"/>
    </row>
    <row r="41" spans="1:10" x14ac:dyDescent="0.25">
      <c r="A41" s="3" t="s">
        <v>100</v>
      </c>
      <c r="B41" s="3"/>
      <c r="C41" s="21"/>
      <c r="D41" s="21"/>
      <c r="E41" s="1"/>
      <c r="J41" s="103"/>
    </row>
    <row r="42" spans="1:10" x14ac:dyDescent="0.25">
      <c r="A42" s="3" t="s">
        <v>98</v>
      </c>
      <c r="B42" s="3"/>
      <c r="C42" s="21"/>
      <c r="D42" s="21"/>
      <c r="E42" s="1"/>
      <c r="J42" s="103"/>
    </row>
    <row r="43" spans="1:10" x14ac:dyDescent="0.25">
      <c r="A43" s="122" t="s">
        <v>101</v>
      </c>
      <c r="B43" s="3"/>
      <c r="C43" s="4"/>
      <c r="D43" s="4"/>
      <c r="E43" s="1"/>
    </row>
    <row r="44" spans="1:10" x14ac:dyDescent="0.25">
      <c r="A44" s="3"/>
      <c r="B44" s="3"/>
      <c r="C44" s="4"/>
      <c r="D44" s="4"/>
      <c r="E44" s="1"/>
    </row>
    <row r="46" spans="1:10" x14ac:dyDescent="0.25">
      <c r="A46" s="3"/>
      <c r="B46" s="3"/>
      <c r="C46" s="4"/>
      <c r="D46" s="4"/>
    </row>
    <row r="53" ht="4.5" customHeight="1" x14ac:dyDescent="0.25"/>
  </sheetData>
  <mergeCells count="5">
    <mergeCell ref="A3:E3"/>
    <mergeCell ref="A4:E4"/>
    <mergeCell ref="F6:H6"/>
    <mergeCell ref="A24:D24"/>
    <mergeCell ref="A25:D25"/>
  </mergeCells>
  <pageMargins left="0.24" right="0.24" top="0.75" bottom="0.75" header="0.32" footer="0.3"/>
  <pageSetup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43"/>
  <sheetViews>
    <sheetView topLeftCell="A16" zoomScale="66" zoomScaleNormal="66" workbookViewId="0">
      <selection activeCell="M42" sqref="M42"/>
    </sheetView>
  </sheetViews>
  <sheetFormatPr baseColWidth="10" defaultRowHeight="15" x14ac:dyDescent="0.25"/>
  <cols>
    <col min="1" max="1" width="19.140625" customWidth="1"/>
    <col min="2" max="9" width="15.140625" bestFit="1" customWidth="1"/>
    <col min="10" max="10" width="19" bestFit="1" customWidth="1"/>
    <col min="11" max="11" width="17.28515625" customWidth="1"/>
    <col min="12" max="12" width="14.140625" customWidth="1"/>
    <col min="13" max="13" width="15.140625" bestFit="1" customWidth="1"/>
    <col min="14" max="14" width="20.85546875" customWidth="1"/>
    <col min="15" max="15" width="2.7109375" customWidth="1"/>
    <col min="16" max="16" width="15.28515625" bestFit="1" customWidth="1"/>
    <col min="17" max="17" width="18.85546875" customWidth="1"/>
  </cols>
  <sheetData>
    <row r="2" spans="1:17" x14ac:dyDescent="0.25">
      <c r="B2" s="82" t="s">
        <v>6</v>
      </c>
      <c r="C2" s="82" t="s">
        <v>7</v>
      </c>
      <c r="D2" s="82" t="s">
        <v>8</v>
      </c>
      <c r="E2" s="82" t="s">
        <v>9</v>
      </c>
      <c r="F2" s="82" t="s">
        <v>10</v>
      </c>
      <c r="G2" s="82" t="s">
        <v>11</v>
      </c>
      <c r="H2" s="82" t="s">
        <v>12</v>
      </c>
      <c r="I2" s="82" t="s">
        <v>13</v>
      </c>
      <c r="J2" s="82" t="s">
        <v>14</v>
      </c>
      <c r="K2" s="82" t="s">
        <v>22</v>
      </c>
      <c r="L2" s="82" t="s">
        <v>23</v>
      </c>
      <c r="M2" s="82" t="s">
        <v>24</v>
      </c>
      <c r="N2" s="82" t="s">
        <v>76</v>
      </c>
    </row>
    <row r="3" spans="1:17" x14ac:dyDescent="0.25">
      <c r="A3" t="s">
        <v>90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7" x14ac:dyDescent="0.25">
      <c r="A4" s="111">
        <v>2014</v>
      </c>
      <c r="B4" s="112">
        <v>8334068.0500000007</v>
      </c>
      <c r="C4" s="112">
        <v>8157299.9200000009</v>
      </c>
      <c r="D4" s="112">
        <v>8127838.5650000004</v>
      </c>
      <c r="E4" s="112">
        <v>8044348.0810000002</v>
      </c>
      <c r="F4" s="112">
        <v>8023675.1979999999</v>
      </c>
      <c r="G4" s="112">
        <v>8018981.3550000004</v>
      </c>
      <c r="H4" s="112">
        <v>7951969.2560000001</v>
      </c>
      <c r="I4" s="112">
        <v>7794675.5810000002</v>
      </c>
      <c r="J4" s="112">
        <v>7789782.0000000009</v>
      </c>
      <c r="K4" s="112">
        <v>8014487.2500000009</v>
      </c>
      <c r="L4" s="112">
        <v>8045446.6400000006</v>
      </c>
      <c r="M4" s="112">
        <v>8226209.5300000003</v>
      </c>
      <c r="N4" s="113">
        <f>SUM($B4:$M4)</f>
        <v>96528781.425999999</v>
      </c>
      <c r="P4" s="68"/>
    </row>
    <row r="5" spans="1:17" x14ac:dyDescent="0.25">
      <c r="A5" s="111">
        <v>2015</v>
      </c>
      <c r="B5" s="112">
        <v>8123000</v>
      </c>
      <c r="C5" s="112">
        <v>8196000</v>
      </c>
      <c r="D5" s="112">
        <v>8042000</v>
      </c>
      <c r="E5" s="112">
        <v>7956000</v>
      </c>
      <c r="F5" s="112">
        <v>8172500</v>
      </c>
      <c r="G5" s="112">
        <v>8205500</v>
      </c>
      <c r="H5" s="112">
        <v>8223213</v>
      </c>
      <c r="I5" s="112">
        <v>8189500</v>
      </c>
      <c r="J5" s="112">
        <v>8177000</v>
      </c>
      <c r="K5" s="112">
        <v>8145000</v>
      </c>
      <c r="L5" s="112">
        <v>8213000</v>
      </c>
      <c r="M5" s="112">
        <v>8430000</v>
      </c>
      <c r="N5" s="113">
        <f t="shared" ref="N5:N43" si="0">SUM($B5:$M5)</f>
        <v>98072713</v>
      </c>
      <c r="P5" s="68"/>
    </row>
    <row r="6" spans="1:17" x14ac:dyDescent="0.25">
      <c r="A6" s="111">
        <v>2016</v>
      </c>
      <c r="B6" s="112">
        <v>8035000</v>
      </c>
      <c r="C6" s="112">
        <v>8026000</v>
      </c>
      <c r="D6" s="112">
        <v>8019000</v>
      </c>
      <c r="E6" s="112">
        <v>8150000</v>
      </c>
      <c r="F6" s="112">
        <v>8260000</v>
      </c>
      <c r="G6" s="112">
        <f>81450*100</f>
        <v>8145000</v>
      </c>
      <c r="H6" s="112">
        <v>8205000</v>
      </c>
      <c r="I6" s="112">
        <v>8341000</v>
      </c>
      <c r="J6" s="112">
        <v>8416000</v>
      </c>
      <c r="K6" s="112">
        <v>8635000</v>
      </c>
      <c r="L6" s="112">
        <v>8850000</v>
      </c>
      <c r="M6" s="112">
        <v>8945000</v>
      </c>
      <c r="N6" s="113">
        <f t="shared" si="0"/>
        <v>100027000</v>
      </c>
      <c r="P6" s="68"/>
    </row>
    <row r="7" spans="1:17" x14ac:dyDescent="0.25">
      <c r="A7" s="111">
        <v>2017</v>
      </c>
      <c r="B7" s="112">
        <v>8260000</v>
      </c>
      <c r="C7" s="112">
        <v>8175000</v>
      </c>
      <c r="D7" s="112">
        <v>8142500</v>
      </c>
      <c r="E7" s="112">
        <v>8200000</v>
      </c>
      <c r="F7" s="112">
        <v>8354500</v>
      </c>
      <c r="G7" s="112">
        <v>8465000</v>
      </c>
      <c r="H7" s="112">
        <v>8500000</v>
      </c>
      <c r="I7" s="112">
        <v>8564000</v>
      </c>
      <c r="J7" s="112">
        <v>8628000</v>
      </c>
      <c r="K7" s="112">
        <v>8664000</v>
      </c>
      <c r="L7" s="112">
        <v>8712500</v>
      </c>
      <c r="M7" s="112">
        <v>8998997</v>
      </c>
      <c r="N7" s="113">
        <f t="shared" si="0"/>
        <v>101664497</v>
      </c>
      <c r="P7" s="68"/>
      <c r="Q7" s="68"/>
    </row>
    <row r="8" spans="1:17" x14ac:dyDescent="0.25">
      <c r="A8" s="111">
        <v>2018</v>
      </c>
      <c r="B8" s="112">
        <v>8430000</v>
      </c>
      <c r="C8" s="112">
        <v>8120000</v>
      </c>
      <c r="D8" s="112">
        <v>8110000</v>
      </c>
      <c r="E8" s="112">
        <v>8073500</v>
      </c>
      <c r="F8" s="112">
        <v>8256000</v>
      </c>
      <c r="G8" s="112">
        <v>8283000</v>
      </c>
      <c r="H8" s="112">
        <v>8309000</v>
      </c>
      <c r="I8" s="112">
        <v>8445000</v>
      </c>
      <c r="J8" s="112">
        <v>8560000</v>
      </c>
      <c r="K8" s="112">
        <v>8632000</v>
      </c>
      <c r="L8" s="112">
        <v>8679000</v>
      </c>
      <c r="M8" s="112">
        <v>8890000</v>
      </c>
      <c r="N8" s="113">
        <f t="shared" si="0"/>
        <v>100787500</v>
      </c>
      <c r="P8" s="123"/>
    </row>
    <row r="9" spans="1:17" x14ac:dyDescent="0.25">
      <c r="P9" s="68"/>
    </row>
    <row r="10" spans="1:17" x14ac:dyDescent="0.25">
      <c r="A10" t="s">
        <v>91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P10" s="68"/>
    </row>
    <row r="11" spans="1:17" x14ac:dyDescent="0.25">
      <c r="A11" s="111">
        <v>2014</v>
      </c>
      <c r="B11" s="112">
        <v>17598777</v>
      </c>
      <c r="C11" s="112">
        <v>14916618</v>
      </c>
      <c r="D11" s="112">
        <v>15127139</v>
      </c>
      <c r="E11" s="112">
        <v>15963316</v>
      </c>
      <c r="F11" s="112">
        <v>15963316</v>
      </c>
      <c r="G11" s="112">
        <v>16123726.999999998</v>
      </c>
      <c r="H11" s="112">
        <v>15120938</v>
      </c>
      <c r="I11" s="112">
        <v>15422174</v>
      </c>
      <c r="J11" s="112">
        <v>14549314</v>
      </c>
      <c r="K11" s="112">
        <v>15644068</v>
      </c>
      <c r="L11" s="112">
        <v>14776304</v>
      </c>
      <c r="M11" s="112">
        <v>16553296</v>
      </c>
      <c r="N11" s="113">
        <f t="shared" si="0"/>
        <v>187758987</v>
      </c>
      <c r="P11" s="68"/>
    </row>
    <row r="12" spans="1:17" x14ac:dyDescent="0.25">
      <c r="A12" s="111">
        <v>2015</v>
      </c>
      <c r="B12" s="112">
        <v>17466552</v>
      </c>
      <c r="C12" s="112">
        <v>15082482</v>
      </c>
      <c r="D12" s="112">
        <v>15968052</v>
      </c>
      <c r="E12" s="112">
        <v>15574301.7575</v>
      </c>
      <c r="F12" s="112">
        <v>16013921.372999998</v>
      </c>
      <c r="G12" s="112">
        <v>16174998.102600001</v>
      </c>
      <c r="H12" s="112">
        <v>15673988</v>
      </c>
      <c r="I12" s="112">
        <v>15631426</v>
      </c>
      <c r="J12" s="112">
        <v>15155036</v>
      </c>
      <c r="K12" s="112">
        <v>16030953.485999998</v>
      </c>
      <c r="L12" s="112">
        <v>16329441.850999998</v>
      </c>
      <c r="M12" s="112">
        <v>18650000</v>
      </c>
      <c r="N12" s="113">
        <f t="shared" si="0"/>
        <v>193751152.57010001</v>
      </c>
      <c r="P12" s="68"/>
    </row>
    <row r="13" spans="1:17" x14ac:dyDescent="0.25">
      <c r="A13" s="111">
        <v>2016</v>
      </c>
      <c r="B13" s="112">
        <v>16133439</v>
      </c>
      <c r="C13" s="112">
        <v>15504542</v>
      </c>
      <c r="D13" s="112">
        <v>16334494</v>
      </c>
      <c r="E13" s="112">
        <v>15880327</v>
      </c>
      <c r="F13" s="112">
        <v>16328655</v>
      </c>
      <c r="G13" s="112">
        <v>16498988</v>
      </c>
      <c r="H13" s="112">
        <v>16592668</v>
      </c>
      <c r="I13" s="112">
        <v>17532091</v>
      </c>
      <c r="J13" s="112">
        <v>15904062</v>
      </c>
      <c r="K13" s="112">
        <v>16447155</v>
      </c>
      <c r="L13" s="112">
        <v>17039273</v>
      </c>
      <c r="M13" s="112">
        <f>19.30213540875*1000000</f>
        <v>19302135.408750001</v>
      </c>
      <c r="N13" s="113">
        <f t="shared" si="0"/>
        <v>199497829.40875</v>
      </c>
      <c r="P13" s="68"/>
    </row>
    <row r="14" spans="1:17" x14ac:dyDescent="0.25">
      <c r="A14" s="111">
        <v>2017</v>
      </c>
      <c r="B14" s="112">
        <v>17399376</v>
      </c>
      <c r="C14" s="112">
        <v>15748104</v>
      </c>
      <c r="D14" s="112">
        <v>16568625</v>
      </c>
      <c r="E14" s="112">
        <v>16651457</v>
      </c>
      <c r="F14" s="112">
        <v>17705876</v>
      </c>
      <c r="G14" s="112">
        <v>17328603</v>
      </c>
      <c r="H14" s="112">
        <v>17167261</v>
      </c>
      <c r="I14" s="112">
        <v>17954527</v>
      </c>
      <c r="J14" s="112">
        <v>16792442</v>
      </c>
      <c r="K14" s="112">
        <v>17001827</v>
      </c>
      <c r="L14" s="112">
        <v>17486894</v>
      </c>
      <c r="M14" s="112">
        <v>19862003.3904</v>
      </c>
      <c r="N14" s="113">
        <f t="shared" si="0"/>
        <v>207666995.39039999</v>
      </c>
    </row>
    <row r="15" spans="1:17" x14ac:dyDescent="0.25">
      <c r="A15" s="111">
        <v>2018</v>
      </c>
      <c r="B15" s="112">
        <v>18083676</v>
      </c>
      <c r="C15" s="112">
        <v>16061498</v>
      </c>
      <c r="D15" s="112">
        <v>17241841</v>
      </c>
      <c r="E15" s="112">
        <v>16404795</v>
      </c>
      <c r="F15" s="112">
        <v>17342376</v>
      </c>
      <c r="G15" s="112">
        <v>17014175</v>
      </c>
      <c r="H15" s="112">
        <v>17680930</v>
      </c>
      <c r="I15" s="112">
        <v>19249831</v>
      </c>
      <c r="J15" s="112">
        <v>18082599</v>
      </c>
      <c r="K15" s="112">
        <v>19479939</v>
      </c>
      <c r="L15" s="112">
        <v>17575845.170000002</v>
      </c>
      <c r="M15" s="112">
        <v>19975325</v>
      </c>
      <c r="N15" s="113">
        <f t="shared" si="0"/>
        <v>214192830.17000002</v>
      </c>
      <c r="P15" s="68"/>
    </row>
    <row r="16" spans="1:17" x14ac:dyDescent="0.25">
      <c r="K16" s="78"/>
      <c r="L16" s="78"/>
    </row>
    <row r="17" spans="1:17" x14ac:dyDescent="0.25">
      <c r="A17" t="s">
        <v>92</v>
      </c>
      <c r="J17" s="121"/>
      <c r="K17" s="41"/>
    </row>
    <row r="18" spans="1:17" x14ac:dyDescent="0.25">
      <c r="A18" s="111">
        <v>2014</v>
      </c>
      <c r="B18" s="112">
        <v>140000000</v>
      </c>
      <c r="C18" s="112">
        <v>138000000</v>
      </c>
      <c r="D18" s="112">
        <v>139000000</v>
      </c>
      <c r="E18" s="112">
        <v>142000000</v>
      </c>
      <c r="F18" s="112">
        <v>140000000</v>
      </c>
      <c r="G18" s="112">
        <v>142000000</v>
      </c>
      <c r="H18" s="112">
        <v>135000000</v>
      </c>
      <c r="I18" s="112">
        <v>143000000</v>
      </c>
      <c r="J18" s="112">
        <v>145000000</v>
      </c>
      <c r="K18" s="112">
        <v>147000000</v>
      </c>
      <c r="L18" s="112">
        <v>149000000</v>
      </c>
      <c r="M18" s="112">
        <v>153000000</v>
      </c>
      <c r="N18" s="113">
        <f t="shared" si="0"/>
        <v>1713000000</v>
      </c>
    </row>
    <row r="19" spans="1:17" x14ac:dyDescent="0.25">
      <c r="A19" s="111">
        <v>2015</v>
      </c>
      <c r="B19" s="112">
        <v>155000000</v>
      </c>
      <c r="C19" s="112">
        <v>157000000</v>
      </c>
      <c r="D19" s="112">
        <v>148000000</v>
      </c>
      <c r="E19" s="112">
        <v>145000000</v>
      </c>
      <c r="F19" s="112">
        <v>147000000</v>
      </c>
      <c r="G19" s="112">
        <v>155000000</v>
      </c>
      <c r="H19" s="112">
        <v>149000000</v>
      </c>
      <c r="I19" s="112">
        <v>140325000</v>
      </c>
      <c r="J19" s="112">
        <v>135000000</v>
      </c>
      <c r="K19" s="112">
        <v>135000000</v>
      </c>
      <c r="L19" s="112">
        <v>140000000</v>
      </c>
      <c r="M19" s="112">
        <v>140000000</v>
      </c>
      <c r="N19" s="113">
        <f t="shared" si="0"/>
        <v>1746325000</v>
      </c>
    </row>
    <row r="20" spans="1:17" x14ac:dyDescent="0.25">
      <c r="A20" s="111">
        <v>2016</v>
      </c>
      <c r="B20" s="112">
        <v>143000000</v>
      </c>
      <c r="C20" s="112">
        <v>145000000</v>
      </c>
      <c r="D20" s="112">
        <v>142000000</v>
      </c>
      <c r="E20" s="112">
        <v>138000000</v>
      </c>
      <c r="F20" s="112">
        <v>147000000</v>
      </c>
      <c r="G20" s="112">
        <v>146000000</v>
      </c>
      <c r="H20" s="112">
        <v>142000000</v>
      </c>
      <c r="I20" s="112">
        <v>140000000</v>
      </c>
      <c r="J20" s="112">
        <v>141000000</v>
      </c>
      <c r="K20" s="112">
        <v>143000000</v>
      </c>
      <c r="L20" s="112">
        <v>143850000</v>
      </c>
      <c r="M20" s="112">
        <v>144000000</v>
      </c>
      <c r="N20" s="113">
        <f t="shared" si="0"/>
        <v>1714850000</v>
      </c>
    </row>
    <row r="21" spans="1:17" x14ac:dyDescent="0.25">
      <c r="A21" s="111">
        <v>2017</v>
      </c>
      <c r="B21" s="112">
        <v>143000000</v>
      </c>
      <c r="C21" s="112">
        <v>145000000</v>
      </c>
      <c r="D21" s="112">
        <v>146000000</v>
      </c>
      <c r="E21" s="112">
        <v>148000000</v>
      </c>
      <c r="F21" s="112">
        <v>149000000</v>
      </c>
      <c r="G21" s="112">
        <v>148000000</v>
      </c>
      <c r="H21" s="112">
        <v>145000000</v>
      </c>
      <c r="I21" s="112">
        <v>165000000</v>
      </c>
      <c r="J21" s="112">
        <v>168000000</v>
      </c>
      <c r="K21" s="112">
        <v>170000000</v>
      </c>
      <c r="L21" s="112">
        <v>170000000</v>
      </c>
      <c r="M21" s="112">
        <v>168000000</v>
      </c>
      <c r="N21" s="113">
        <f t="shared" si="0"/>
        <v>1865000000</v>
      </c>
      <c r="P21" s="41"/>
    </row>
    <row r="22" spans="1:17" x14ac:dyDescent="0.25">
      <c r="A22" s="111">
        <v>2018</v>
      </c>
      <c r="B22" s="112">
        <v>162000000</v>
      </c>
      <c r="C22" s="112">
        <v>170000000</v>
      </c>
      <c r="D22" s="112">
        <v>165000000</v>
      </c>
      <c r="E22" s="112">
        <v>173000000</v>
      </c>
      <c r="F22" s="112">
        <v>178000000</v>
      </c>
      <c r="G22" s="112">
        <v>171000000</v>
      </c>
      <c r="H22" s="112">
        <v>170000000</v>
      </c>
      <c r="I22" s="112">
        <v>176000000</v>
      </c>
      <c r="J22" s="112">
        <v>175000000</v>
      </c>
      <c r="K22" s="112">
        <v>180000000</v>
      </c>
      <c r="L22" s="112">
        <v>180000000</v>
      </c>
      <c r="M22" s="112">
        <v>180000000</v>
      </c>
      <c r="N22" s="113">
        <f t="shared" si="0"/>
        <v>2080000000</v>
      </c>
      <c r="P22" s="41"/>
    </row>
    <row r="23" spans="1:17" x14ac:dyDescent="0.25">
      <c r="O23" s="41"/>
    </row>
    <row r="24" spans="1:17" x14ac:dyDescent="0.25">
      <c r="A24" t="s">
        <v>93</v>
      </c>
      <c r="O24" s="61"/>
      <c r="P24" s="121"/>
    </row>
    <row r="25" spans="1:17" x14ac:dyDescent="0.25">
      <c r="A25" s="111">
        <v>2014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3">
        <f t="shared" si="0"/>
        <v>0</v>
      </c>
    </row>
    <row r="26" spans="1:17" x14ac:dyDescent="0.25">
      <c r="A26" s="111">
        <v>2015</v>
      </c>
      <c r="B26" s="112">
        <v>7795515.5244755242</v>
      </c>
      <c r="C26" s="112">
        <v>5864294.2657342656</v>
      </c>
      <c r="D26" s="112">
        <v>5341712.0979020968</v>
      </c>
      <c r="E26" s="112">
        <v>9640312.307692308</v>
      </c>
      <c r="F26" s="112">
        <v>6076055.4507692317</v>
      </c>
      <c r="G26" s="112">
        <v>8231268.9946153844</v>
      </c>
      <c r="H26" s="112">
        <v>6165701.538461538</v>
      </c>
      <c r="I26" s="112">
        <v>6494738.7184615387</v>
      </c>
      <c r="J26" s="112">
        <v>9654633.692307692</v>
      </c>
      <c r="K26" s="112">
        <v>9933869.2307692301</v>
      </c>
      <c r="L26" s="112">
        <v>10217501.538461538</v>
      </c>
      <c r="M26" s="112">
        <v>9874169.2307692301</v>
      </c>
      <c r="N26" s="113">
        <f t="shared" si="0"/>
        <v>95289772.590419576</v>
      </c>
    </row>
    <row r="27" spans="1:17" x14ac:dyDescent="0.25">
      <c r="A27" s="111">
        <v>2016</v>
      </c>
      <c r="B27" s="112">
        <v>3782485</v>
      </c>
      <c r="C27" s="112">
        <v>5274390</v>
      </c>
      <c r="D27" s="112">
        <v>4524955</v>
      </c>
      <c r="E27" s="112">
        <v>7690229</v>
      </c>
      <c r="F27" s="112">
        <v>9267286</v>
      </c>
      <c r="G27" s="112">
        <v>7402392</v>
      </c>
      <c r="H27" s="112">
        <v>4788586</v>
      </c>
      <c r="I27" s="112">
        <v>8096092</v>
      </c>
      <c r="J27" s="112">
        <v>6868829</v>
      </c>
      <c r="K27" s="112">
        <v>10255528</v>
      </c>
      <c r="L27" s="112">
        <v>11244906</v>
      </c>
      <c r="M27" s="112">
        <v>13438823</v>
      </c>
      <c r="N27" s="113">
        <f t="shared" si="0"/>
        <v>92634501</v>
      </c>
    </row>
    <row r="28" spans="1:17" x14ac:dyDescent="0.25">
      <c r="A28" s="111">
        <v>2017</v>
      </c>
      <c r="B28" s="112">
        <v>6199211</v>
      </c>
      <c r="C28" s="112">
        <v>5193421</v>
      </c>
      <c r="D28" s="112">
        <v>4390254</v>
      </c>
      <c r="E28" s="112">
        <v>4224231</v>
      </c>
      <c r="F28" s="112">
        <v>4632313</v>
      </c>
      <c r="G28" s="112">
        <v>4219810</v>
      </c>
      <c r="H28" s="112">
        <v>4158329</v>
      </c>
      <c r="I28" s="112">
        <v>4463985</v>
      </c>
      <c r="J28" s="112">
        <v>4493618</v>
      </c>
      <c r="K28" s="112">
        <v>4608318</v>
      </c>
      <c r="L28" s="112">
        <v>10043580</v>
      </c>
      <c r="M28" s="112">
        <v>10545759</v>
      </c>
      <c r="N28" s="113">
        <f t="shared" si="0"/>
        <v>67172829</v>
      </c>
      <c r="Q28" s="78"/>
    </row>
    <row r="29" spans="1:17" x14ac:dyDescent="0.25">
      <c r="A29" s="111">
        <v>2018</v>
      </c>
      <c r="B29" s="112">
        <v>5413778</v>
      </c>
      <c r="C29" s="112">
        <v>4614166</v>
      </c>
      <c r="D29" s="112">
        <v>4641838</v>
      </c>
      <c r="E29" s="112">
        <v>5088519</v>
      </c>
      <c r="F29" s="112">
        <v>5365350.0722266026</v>
      </c>
      <c r="G29" s="112">
        <v>5460537.7567184689</v>
      </c>
      <c r="H29" s="112">
        <v>5628054</v>
      </c>
      <c r="I29" s="112">
        <v>5199312</v>
      </c>
      <c r="J29" s="112">
        <v>5591096</v>
      </c>
      <c r="K29" s="112">
        <v>5059831</v>
      </c>
      <c r="L29" s="112">
        <v>10130541</v>
      </c>
      <c r="M29" s="112">
        <v>10598758</v>
      </c>
      <c r="N29" s="113">
        <f t="shared" si="0"/>
        <v>72791780.828945071</v>
      </c>
      <c r="Q29" s="78"/>
    </row>
    <row r="30" spans="1:17" x14ac:dyDescent="0.25">
      <c r="L30" s="78"/>
      <c r="M30" s="78"/>
    </row>
    <row r="31" spans="1:17" x14ac:dyDescent="0.25">
      <c r="A31" t="s">
        <v>94</v>
      </c>
    </row>
    <row r="32" spans="1:17" x14ac:dyDescent="0.25">
      <c r="A32" s="111">
        <v>2014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>
        <f t="shared" si="0"/>
        <v>0</v>
      </c>
    </row>
    <row r="33" spans="1:14" x14ac:dyDescent="0.25">
      <c r="A33" s="111">
        <v>2015</v>
      </c>
      <c r="B33" s="112">
        <v>6530</v>
      </c>
      <c r="C33" s="112">
        <v>40500</v>
      </c>
      <c r="D33" s="112">
        <v>47250</v>
      </c>
      <c r="E33" s="112">
        <v>260465</v>
      </c>
      <c r="F33" s="112">
        <v>141750</v>
      </c>
      <c r="G33" s="112">
        <v>100802.5</v>
      </c>
      <c r="H33" s="112">
        <v>36525</v>
      </c>
      <c r="I33" s="112">
        <v>42762.5</v>
      </c>
      <c r="J33" s="112">
        <v>28205</v>
      </c>
      <c r="K33" s="112">
        <v>43537.5</v>
      </c>
      <c r="L33" s="112">
        <v>116662.5</v>
      </c>
      <c r="M33" s="112">
        <v>125555</v>
      </c>
      <c r="N33" s="113">
        <f t="shared" si="0"/>
        <v>990545</v>
      </c>
    </row>
    <row r="34" spans="1:14" x14ac:dyDescent="0.25">
      <c r="A34" s="111">
        <v>2016</v>
      </c>
      <c r="B34" s="112">
        <v>47450</v>
      </c>
      <c r="C34" s="112">
        <v>43910</v>
      </c>
      <c r="D34" s="112">
        <v>121122.5</v>
      </c>
      <c r="E34" s="112">
        <v>115950</v>
      </c>
      <c r="F34" s="112">
        <v>57800</v>
      </c>
      <c r="G34" s="112">
        <v>164067.5</v>
      </c>
      <c r="H34" s="112">
        <v>39917.5</v>
      </c>
      <c r="I34" s="112">
        <v>12287.5</v>
      </c>
      <c r="J34" s="112">
        <v>76250</v>
      </c>
      <c r="K34" s="112">
        <v>58427.5</v>
      </c>
      <c r="L34" s="112">
        <v>134161.87499999997</v>
      </c>
      <c r="M34" s="112">
        <v>180648</v>
      </c>
      <c r="N34" s="113">
        <f t="shared" si="0"/>
        <v>1051992.375</v>
      </c>
    </row>
    <row r="35" spans="1:14" x14ac:dyDescent="0.25">
      <c r="A35" s="111">
        <v>2017</v>
      </c>
      <c r="B35" s="112">
        <v>35196</v>
      </c>
      <c r="C35" s="112">
        <v>46106</v>
      </c>
      <c r="D35" s="112">
        <v>119735</v>
      </c>
      <c r="E35" s="112">
        <v>89195</v>
      </c>
      <c r="F35" s="112">
        <v>81617</v>
      </c>
      <c r="G35" s="112">
        <v>54528</v>
      </c>
      <c r="H35" s="112">
        <v>30245</v>
      </c>
      <c r="I35" s="112">
        <v>79791</v>
      </c>
      <c r="J35" s="112">
        <v>39495</v>
      </c>
      <c r="K35" s="112">
        <v>90798</v>
      </c>
      <c r="L35" s="112">
        <v>95337</v>
      </c>
      <c r="M35" s="112">
        <v>94390</v>
      </c>
      <c r="N35" s="113">
        <f t="shared" si="0"/>
        <v>856433</v>
      </c>
    </row>
    <row r="36" spans="1:14" x14ac:dyDescent="0.25">
      <c r="A36" s="111">
        <v>2018</v>
      </c>
      <c r="B36" s="112">
        <v>48163</v>
      </c>
      <c r="C36" s="112">
        <v>37145</v>
      </c>
      <c r="D36" s="112">
        <v>37700</v>
      </c>
      <c r="E36" s="112">
        <v>161038</v>
      </c>
      <c r="F36" s="112">
        <v>106827.5</v>
      </c>
      <c r="G36" s="112">
        <v>171392.5</v>
      </c>
      <c r="H36" s="112">
        <v>72000</v>
      </c>
      <c r="I36" s="112">
        <v>52319</v>
      </c>
      <c r="J36" s="112">
        <v>31450</v>
      </c>
      <c r="K36" s="112">
        <v>35475</v>
      </c>
      <c r="L36" s="112">
        <v>97520</v>
      </c>
      <c r="M36" s="112">
        <v>97856</v>
      </c>
      <c r="N36" s="113">
        <f t="shared" si="0"/>
        <v>948886</v>
      </c>
    </row>
    <row r="37" spans="1:14" x14ac:dyDescent="0.25">
      <c r="L37" s="125"/>
    </row>
    <row r="38" spans="1:14" x14ac:dyDescent="0.25">
      <c r="A38" t="s">
        <v>95</v>
      </c>
      <c r="K38" s="78"/>
    </row>
    <row r="39" spans="1:14" x14ac:dyDescent="0.25">
      <c r="A39" s="111">
        <v>2014</v>
      </c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3">
        <f t="shared" si="0"/>
        <v>0</v>
      </c>
    </row>
    <row r="40" spans="1:14" x14ac:dyDescent="0.25">
      <c r="A40" s="111">
        <v>2015</v>
      </c>
      <c r="B40" s="112">
        <v>53092308</v>
      </c>
      <c r="C40" s="112">
        <v>48736761</v>
      </c>
      <c r="D40" s="112">
        <v>54336863</v>
      </c>
      <c r="E40" s="112">
        <v>53632531</v>
      </c>
      <c r="F40" s="112">
        <v>56447159</v>
      </c>
      <c r="G40" s="112">
        <v>54385018</v>
      </c>
      <c r="H40" s="112">
        <v>56618669</v>
      </c>
      <c r="I40" s="112">
        <v>59346551</v>
      </c>
      <c r="J40" s="112">
        <v>56210024</v>
      </c>
      <c r="K40" s="112">
        <v>54660898</v>
      </c>
      <c r="L40" s="112">
        <v>53649298</v>
      </c>
      <c r="M40" s="112">
        <v>54642469</v>
      </c>
      <c r="N40" s="113">
        <f t="shared" si="0"/>
        <v>655758549</v>
      </c>
    </row>
    <row r="41" spans="1:14" x14ac:dyDescent="0.25">
      <c r="A41" s="111">
        <v>2016</v>
      </c>
      <c r="B41" s="112">
        <v>56078641</v>
      </c>
      <c r="C41" s="112">
        <v>56157257</v>
      </c>
      <c r="D41" s="112">
        <v>60777967</v>
      </c>
      <c r="E41" s="112">
        <v>62979857</v>
      </c>
      <c r="F41" s="112">
        <v>63198941</v>
      </c>
      <c r="G41" s="112">
        <v>61478918</v>
      </c>
      <c r="H41" s="112">
        <v>67745502</v>
      </c>
      <c r="I41" s="112">
        <v>67839135</v>
      </c>
      <c r="J41" s="112">
        <v>65045939</v>
      </c>
      <c r="K41" s="112">
        <v>67289865</v>
      </c>
      <c r="L41" s="112">
        <v>62859202</v>
      </c>
      <c r="M41" s="112">
        <v>64074918</v>
      </c>
      <c r="N41" s="113">
        <f t="shared" si="0"/>
        <v>755526142</v>
      </c>
    </row>
    <row r="42" spans="1:14" x14ac:dyDescent="0.25">
      <c r="A42" s="111">
        <v>2017</v>
      </c>
      <c r="B42" s="112">
        <v>64776170</v>
      </c>
      <c r="C42" s="112">
        <v>59851600</v>
      </c>
      <c r="D42" s="112">
        <v>66714657</v>
      </c>
      <c r="E42" s="112">
        <v>68483550</v>
      </c>
      <c r="F42" s="112">
        <v>68483449</v>
      </c>
      <c r="G42" s="112">
        <v>71715796</v>
      </c>
      <c r="H42" s="112">
        <v>78525720</v>
      </c>
      <c r="I42" s="112">
        <v>71882770.24387756</v>
      </c>
      <c r="J42" s="112">
        <v>70975163</v>
      </c>
      <c r="K42" s="112">
        <v>74414614</v>
      </c>
      <c r="L42" s="112">
        <v>68056708</v>
      </c>
      <c r="M42" s="112">
        <v>62358412</v>
      </c>
      <c r="N42" s="113">
        <f t="shared" si="0"/>
        <v>826238609.24387753</v>
      </c>
    </row>
    <row r="43" spans="1:14" x14ac:dyDescent="0.25">
      <c r="A43" s="111">
        <v>2018</v>
      </c>
      <c r="B43" s="112">
        <v>75875000</v>
      </c>
      <c r="C43" s="112">
        <v>69357000</v>
      </c>
      <c r="D43" s="112">
        <v>79070878</v>
      </c>
      <c r="E43" s="112">
        <v>75878357</v>
      </c>
      <c r="F43" s="112">
        <v>77920051.020408168</v>
      </c>
      <c r="G43" s="112">
        <v>74470775.510204077</v>
      </c>
      <c r="H43" s="112">
        <v>81429851</v>
      </c>
      <c r="I43" s="112">
        <v>90731116</v>
      </c>
      <c r="J43" s="112">
        <v>86630939</v>
      </c>
      <c r="K43" s="112">
        <v>89774987.755102038</v>
      </c>
      <c r="L43" s="112">
        <v>70347107.547169805</v>
      </c>
      <c r="M43" s="112">
        <v>71985975</v>
      </c>
      <c r="N43" s="113">
        <f t="shared" si="0"/>
        <v>943472037.83288407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POLLO</vt:lpstr>
      <vt:lpstr>pecuario</vt:lpstr>
      <vt:lpstr>Antes</vt:lpstr>
      <vt:lpstr>MODIFICADO</vt:lpstr>
      <vt:lpstr>Datos Mensuales (19-20)</vt:lpstr>
      <vt:lpstr>Datos Mensuales</vt:lpstr>
      <vt:lpstr>Precio de Insumos</vt:lpstr>
      <vt:lpstr>COMPARATIVO Enero - Diciemb</vt:lpstr>
      <vt:lpstr>HISTORICO</vt:lpstr>
      <vt:lpstr>Hoja1</vt:lpstr>
      <vt:lpstr>COMPARATIVO (Junio)</vt:lpstr>
      <vt:lpstr>COMPARATIVO (enero-junio)</vt:lpstr>
      <vt:lpstr>Hoja3</vt:lpstr>
      <vt:lpstr>Antes!Área_de_impresión</vt:lpstr>
      <vt:lpstr>'COMPARATIVO Enero - Diciemb'!Área_de_impresión</vt:lpstr>
      <vt:lpstr>'Datos Mensuales'!Área_de_impresión</vt:lpstr>
      <vt:lpstr>'Datos Mensuales (19-20)'!Área_de_impresión</vt:lpstr>
      <vt:lpstr>Hoja1!Área_de_impresión</vt:lpstr>
      <vt:lpstr>MODIFICADO!Área_de_impresión</vt:lpstr>
      <vt:lpstr>pecuario!Área_de_impresión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2026-06-03T14:33:53Z</dcterms:modified>
</cp:coreProperties>
</file>