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aherrera\Desktop\ESTADISTICA 2025 ACTUALIZADA\PRODUCCION AGROPECUARIA)\"/>
    </mc:Choice>
  </mc:AlternateContent>
  <xr:revisionPtr revIDLastSave="0" documentId="13_ncr:1_{030AD5F0-1304-44AC-A973-24A84D02B98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oduccion bajo amb. proteg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25" i="1" l="1"/>
  <c r="W18" i="1" l="1"/>
  <c r="W13" i="1"/>
  <c r="V13" i="1"/>
  <c r="V18" i="1"/>
  <c r="U25" i="1"/>
  <c r="U18" i="1"/>
  <c r="U13" i="1"/>
  <c r="V25" i="1" l="1"/>
  <c r="T25" i="1"/>
  <c r="T18" i="1"/>
  <c r="T13" i="1" l="1"/>
  <c r="R13" i="1"/>
  <c r="S25" i="1"/>
  <c r="I23" i="1"/>
  <c r="H23" i="1"/>
  <c r="G23" i="1"/>
  <c r="F23" i="1"/>
  <c r="E23" i="1"/>
  <c r="D23" i="1"/>
  <c r="C23" i="1"/>
  <c r="I24" i="1" l="1"/>
  <c r="H24" i="1"/>
  <c r="G24" i="1"/>
  <c r="F24" i="1"/>
  <c r="E24" i="1"/>
  <c r="D24" i="1"/>
  <c r="I22" i="1"/>
  <c r="H22" i="1"/>
  <c r="G22" i="1"/>
  <c r="F22" i="1"/>
  <c r="E22" i="1"/>
  <c r="D22" i="1"/>
  <c r="C22" i="1"/>
  <c r="B22" i="1"/>
  <c r="I21" i="1"/>
  <c r="H21" i="1"/>
  <c r="I20" i="1"/>
  <c r="H20" i="1"/>
  <c r="G20" i="1"/>
  <c r="F20" i="1"/>
  <c r="E20" i="1"/>
  <c r="D20" i="1"/>
  <c r="C20" i="1"/>
  <c r="B20" i="1"/>
  <c r="I19" i="1"/>
  <c r="H19" i="1"/>
  <c r="G19" i="1"/>
  <c r="G18" i="1" s="1"/>
  <c r="F19" i="1"/>
  <c r="F18" i="1" s="1"/>
  <c r="E19" i="1"/>
  <c r="E18" i="1" s="1"/>
  <c r="D19" i="1"/>
  <c r="D18" i="1" s="1"/>
  <c r="C19" i="1"/>
  <c r="B19" i="1"/>
  <c r="B18" i="1" s="1"/>
  <c r="R18" i="1"/>
  <c r="Q18" i="1"/>
  <c r="P18" i="1"/>
  <c r="O18" i="1"/>
  <c r="N18" i="1"/>
  <c r="M18" i="1"/>
  <c r="L18" i="1"/>
  <c r="K18" i="1"/>
  <c r="J18" i="1"/>
  <c r="I16" i="1"/>
  <c r="H16" i="1"/>
  <c r="G16" i="1"/>
  <c r="F16" i="1"/>
  <c r="E16" i="1"/>
  <c r="D16" i="1"/>
  <c r="I15" i="1"/>
  <c r="H15" i="1"/>
  <c r="G15" i="1"/>
  <c r="F15" i="1"/>
  <c r="E15" i="1"/>
  <c r="D15" i="1"/>
  <c r="C15" i="1"/>
  <c r="I14" i="1"/>
  <c r="H14" i="1"/>
  <c r="G14" i="1"/>
  <c r="F14" i="1"/>
  <c r="E14" i="1"/>
  <c r="D14" i="1"/>
  <c r="C14" i="1"/>
  <c r="B14" i="1"/>
  <c r="B13" i="1" s="1"/>
  <c r="B25" i="1" s="1"/>
  <c r="R25" i="1"/>
  <c r="Q13" i="1"/>
  <c r="Q25" i="1" s="1"/>
  <c r="P13" i="1"/>
  <c r="O13" i="1"/>
  <c r="O25" i="1" s="1"/>
  <c r="N13" i="1"/>
  <c r="N25" i="1" s="1"/>
  <c r="M13" i="1"/>
  <c r="M25" i="1" s="1"/>
  <c r="L13" i="1"/>
  <c r="K13" i="1"/>
  <c r="K25" i="1" s="1"/>
  <c r="J13" i="1"/>
  <c r="J25" i="1" s="1"/>
  <c r="C18" i="1" l="1"/>
  <c r="P25" i="1"/>
  <c r="L25" i="1"/>
  <c r="H18" i="1"/>
  <c r="E13" i="1"/>
  <c r="E25" i="1" s="1"/>
  <c r="I13" i="1"/>
  <c r="D13" i="1"/>
  <c r="D25" i="1" s="1"/>
  <c r="F13" i="1"/>
  <c r="F25" i="1" s="1"/>
  <c r="H13" i="1"/>
  <c r="H25" i="1" s="1"/>
  <c r="C13" i="1"/>
  <c r="C25" i="1" s="1"/>
  <c r="G13" i="1"/>
  <c r="G25" i="1" s="1"/>
  <c r="I18" i="1"/>
  <c r="I25" i="1" l="1"/>
</calcChain>
</file>

<file path=xl/sharedStrings.xml><?xml version="1.0" encoding="utf-8"?>
<sst xmlns="http://schemas.openxmlformats.org/spreadsheetml/2006/main" count="23" uniqueCount="23">
  <si>
    <t>Viceministerio de Planificación Sectorial Agropecuaria</t>
  </si>
  <si>
    <t>Departamento de Economía Agropecuaria y Estadísticas</t>
  </si>
  <si>
    <t xml:space="preserve">  Producción Bajo Ambiente Protegido,</t>
  </si>
  <si>
    <t>Productos</t>
  </si>
  <si>
    <t>Ajíes</t>
  </si>
  <si>
    <t xml:space="preserve">  Ají (pimiento) morrón</t>
  </si>
  <si>
    <t xml:space="preserve">  Ají cubanela</t>
  </si>
  <si>
    <t xml:space="preserve">  Ají picante (hot pepper)</t>
  </si>
  <si>
    <t xml:space="preserve">  Ají Cachucha (Gustoso)</t>
  </si>
  <si>
    <t>Tomates</t>
  </si>
  <si>
    <t xml:space="preserve">  Tomate Cherry</t>
  </si>
  <si>
    <t xml:space="preserve">  Tomate cluster (ensalada)</t>
  </si>
  <si>
    <t xml:space="preserve">  Tomate bugalú</t>
  </si>
  <si>
    <t>Pepino</t>
  </si>
  <si>
    <t>Hierbas aromáticas</t>
  </si>
  <si>
    <t>Otros</t>
  </si>
  <si>
    <t>Total</t>
  </si>
  <si>
    <t xml:space="preserve">              Elaborado:  Ministerio de Agricultura de República Dominicana. Departamento de Economía Agropecuaria y Estadísticas.</t>
  </si>
  <si>
    <t>* Datos Preliminares.</t>
  </si>
  <si>
    <r>
      <rPr>
        <b/>
        <sz val="8"/>
        <rFont val="Calibri"/>
        <family val="2"/>
        <scheme val="minor"/>
      </rPr>
      <t>FUENTE:</t>
    </r>
    <r>
      <rPr>
        <sz val="8"/>
        <rFont val="Calibri"/>
        <family val="2"/>
        <scheme val="minor"/>
      </rPr>
      <t xml:space="preserve"> Ministerio de Agricultura de República Dominicana. Departamento de Producción Bajo Ambiente Protegido, (DEPROBAP).</t>
    </r>
  </si>
  <si>
    <t>2023*</t>
  </si>
  <si>
    <t>2025*</t>
  </si>
  <si>
    <t>2004 - 2025 (En quintales)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</si>
</sst>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" fillId="0" borderId="0"/>
  </cellStyleXfs>
  <cellXfs count="49">
    <xf numFmtId="0" fontId="0" fillId="0" borderId="0" xfId="0"/>
    <xf numFmtId="0" fontId="4" fillId="2" borderId="1" xfId="0" applyFont="1" applyFill="1" applyBorder="1" applyAlignment="1">
      <alignment horizontal="left" vertical="center"/>
    </xf>
    <xf numFmtId="3" fontId="4" fillId="2" borderId="0" xfId="1" applyNumberFormat="1" applyFont="1" applyFill="1" applyBorder="1" applyAlignment="1">
      <alignment horizontal="right"/>
    </xf>
    <xf numFmtId="164" fontId="4" fillId="2" borderId="0" xfId="1" applyNumberFormat="1" applyFont="1" applyFill="1" applyBorder="1" applyAlignment="1">
      <alignment horizontal="right"/>
    </xf>
    <xf numFmtId="164" fontId="4" fillId="2" borderId="2" xfId="1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center"/>
    </xf>
    <xf numFmtId="3" fontId="3" fillId="2" borderId="0" xfId="1" applyNumberFormat="1" applyFont="1" applyFill="1" applyBorder="1" applyAlignment="1">
      <alignment horizontal="right"/>
    </xf>
    <xf numFmtId="3" fontId="3" fillId="2" borderId="2" xfId="1" applyNumberFormat="1" applyFont="1" applyFill="1" applyBorder="1" applyAlignment="1">
      <alignment horizontal="right"/>
    </xf>
    <xf numFmtId="164" fontId="3" fillId="2" borderId="0" xfId="1" applyNumberFormat="1" applyFont="1" applyFill="1" applyBorder="1" applyAlignment="1">
      <alignment horizontal="right"/>
    </xf>
    <xf numFmtId="164" fontId="3" fillId="2" borderId="2" xfId="0" applyNumberFormat="1" applyFont="1" applyFill="1" applyBorder="1" applyAlignment="1">
      <alignment horizontal="right" vertical="center"/>
    </xf>
    <xf numFmtId="164" fontId="3" fillId="2" borderId="0" xfId="0" applyNumberFormat="1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left" vertical="center"/>
    </xf>
    <xf numFmtId="3" fontId="7" fillId="4" borderId="4" xfId="1" applyNumberFormat="1" applyFont="1" applyFill="1" applyBorder="1" applyAlignment="1"/>
    <xf numFmtId="3" fontId="7" fillId="4" borderId="5" xfId="1" applyNumberFormat="1" applyFont="1" applyFill="1" applyBorder="1" applyAlignment="1"/>
    <xf numFmtId="0" fontId="4" fillId="2" borderId="0" xfId="0" applyFont="1" applyFill="1"/>
    <xf numFmtId="0" fontId="8" fillId="2" borderId="0" xfId="0" applyFont="1" applyFill="1"/>
    <xf numFmtId="0" fontId="8" fillId="0" borderId="0" xfId="0" applyFont="1"/>
    <xf numFmtId="0" fontId="9" fillId="2" borderId="0" xfId="0" applyFont="1" applyFill="1" applyAlignment="1">
      <alignment horizontal="center" wrapText="1"/>
    </xf>
    <xf numFmtId="0" fontId="9" fillId="2" borderId="0" xfId="0" applyFont="1" applyFill="1" applyAlignment="1">
      <alignment wrapText="1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Border="1"/>
    <xf numFmtId="0" fontId="4" fillId="2" borderId="2" xfId="0" applyFont="1" applyFill="1" applyBorder="1"/>
    <xf numFmtId="164" fontId="8" fillId="2" borderId="0" xfId="1" applyNumberFormat="1" applyFont="1" applyFill="1"/>
    <xf numFmtId="164" fontId="8" fillId="2" borderId="0" xfId="0" applyNumberFormat="1" applyFont="1" applyFill="1"/>
    <xf numFmtId="0" fontId="10" fillId="2" borderId="0" xfId="0" applyFont="1" applyFill="1"/>
    <xf numFmtId="3" fontId="11" fillId="2" borderId="0" xfId="1" applyNumberFormat="1" applyFont="1" applyFill="1" applyAlignment="1">
      <alignment horizontal="right"/>
    </xf>
    <xf numFmtId="0" fontId="13" fillId="2" borderId="0" xfId="0" applyFont="1" applyFill="1"/>
    <xf numFmtId="3" fontId="7" fillId="2" borderId="0" xfId="1" applyNumberFormat="1" applyFont="1" applyFill="1" applyAlignment="1">
      <alignment horizontal="right"/>
    </xf>
    <xf numFmtId="3" fontId="8" fillId="2" borderId="0" xfId="0" applyNumberFormat="1" applyFont="1" applyFill="1"/>
    <xf numFmtId="43" fontId="8" fillId="2" borderId="0" xfId="1" applyFont="1" applyFill="1"/>
    <xf numFmtId="164" fontId="10" fillId="2" borderId="0" xfId="1" applyNumberFormat="1" applyFont="1" applyFill="1"/>
    <xf numFmtId="164" fontId="4" fillId="2" borderId="0" xfId="0" applyNumberFormat="1" applyFont="1" applyFill="1"/>
    <xf numFmtId="164" fontId="8" fillId="0" borderId="0" xfId="0" applyNumberFormat="1" applyFont="1"/>
    <xf numFmtId="0" fontId="10" fillId="2" borderId="0" xfId="0" applyFont="1" applyFill="1" applyAlignment="1">
      <alignment horizontal="left" wrapText="1"/>
    </xf>
    <xf numFmtId="3" fontId="3" fillId="0" borderId="0" xfId="1" applyNumberFormat="1" applyFont="1" applyFill="1" applyBorder="1" applyAlignment="1">
      <alignment horizontal="right"/>
    </xf>
    <xf numFmtId="0" fontId="7" fillId="3" borderId="8" xfId="0" applyFont="1" applyFill="1" applyBorder="1" applyAlignment="1">
      <alignment horizontal="center" vertical="center"/>
    </xf>
    <xf numFmtId="3" fontId="7" fillId="4" borderId="6" xfId="1" applyNumberFormat="1" applyFont="1" applyFill="1" applyBorder="1" applyAlignment="1"/>
    <xf numFmtId="0" fontId="7" fillId="3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8" fillId="2" borderId="0" xfId="0" applyFont="1" applyFill="1" applyBorder="1"/>
    <xf numFmtId="0" fontId="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</cellXfs>
  <cellStyles count="3">
    <cellStyle name="Millares" xfId="1" builtinId="3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426427</xdr:colOff>
      <xdr:row>0</xdr:row>
      <xdr:rowOff>95251</xdr:rowOff>
    </xdr:from>
    <xdr:to>
      <xdr:col>13</xdr:col>
      <xdr:colOff>25034</xdr:colOff>
      <xdr:row>3</xdr:row>
      <xdr:rowOff>150813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8BE853-D081-4699-A033-09D7E82D94E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4490" y="95251"/>
          <a:ext cx="1194044" cy="53181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3"/>
  <sheetViews>
    <sheetView tabSelected="1" zoomScale="120" zoomScaleNormal="120" workbookViewId="0">
      <selection activeCell="O3" sqref="O3"/>
    </sheetView>
  </sheetViews>
  <sheetFormatPr baseColWidth="10" defaultRowHeight="12.75" x14ac:dyDescent="0.2"/>
  <cols>
    <col min="1" max="1" width="19.85546875" style="22" customWidth="1"/>
    <col min="2" max="2" width="8" style="22" customWidth="1"/>
    <col min="3" max="3" width="7.5703125" style="22" customWidth="1"/>
    <col min="4" max="9" width="8" style="22" customWidth="1"/>
    <col min="10" max="12" width="8" style="16" customWidth="1"/>
    <col min="13" max="15" width="8" style="15" customWidth="1"/>
    <col min="16" max="16" width="8.42578125" style="16" customWidth="1"/>
    <col min="17" max="17" width="9.140625" style="15" customWidth="1"/>
    <col min="18" max="18" width="9.28515625" style="15" customWidth="1"/>
    <col min="19" max="19" width="9.140625" style="15" customWidth="1"/>
    <col min="20" max="20" width="9.5703125" style="15" customWidth="1"/>
    <col min="21" max="21" width="10.28515625" style="15" customWidth="1"/>
    <col min="22" max="22" width="11" style="15" customWidth="1"/>
    <col min="23" max="23" width="10.5703125" style="15" customWidth="1"/>
    <col min="24" max="25" width="11.42578125" style="15"/>
    <col min="26" max="16384" width="11.42578125" style="16"/>
  </cols>
  <sheetData>
    <row r="1" spans="1:25" x14ac:dyDescent="0.2">
      <c r="A1" s="14"/>
      <c r="B1" s="14"/>
      <c r="C1" s="14"/>
      <c r="D1" s="14"/>
      <c r="E1" s="14"/>
      <c r="F1" s="14"/>
      <c r="G1" s="14"/>
      <c r="H1" s="14"/>
      <c r="I1" s="14"/>
      <c r="J1" s="15"/>
      <c r="K1" s="15"/>
      <c r="L1" s="15"/>
      <c r="P1" s="15"/>
    </row>
    <row r="2" spans="1:25" x14ac:dyDescent="0.2">
      <c r="A2" s="14"/>
      <c r="B2" s="14"/>
      <c r="C2" s="14"/>
      <c r="D2" s="14"/>
      <c r="E2" s="14"/>
      <c r="F2" s="14"/>
      <c r="G2" s="14"/>
      <c r="H2" s="14"/>
      <c r="I2" s="14"/>
      <c r="J2" s="15"/>
      <c r="K2" s="15"/>
      <c r="L2" s="15"/>
      <c r="P2" s="15"/>
    </row>
    <row r="3" spans="1:25" x14ac:dyDescent="0.2">
      <c r="A3" s="14"/>
      <c r="B3" s="14"/>
      <c r="C3" s="14"/>
      <c r="D3" s="14"/>
      <c r="E3" s="14"/>
      <c r="F3" s="14"/>
      <c r="G3" s="14"/>
      <c r="H3" s="14"/>
      <c r="I3" s="14"/>
      <c r="J3" s="15"/>
      <c r="K3" s="15"/>
      <c r="L3" s="15"/>
      <c r="P3" s="15"/>
    </row>
    <row r="4" spans="1:25" x14ac:dyDescent="0.2">
      <c r="A4" s="14"/>
      <c r="B4" s="14"/>
      <c r="C4" s="14"/>
      <c r="D4" s="14"/>
      <c r="E4" s="14"/>
      <c r="F4" s="14"/>
      <c r="G4" s="14"/>
      <c r="H4" s="14"/>
      <c r="I4" s="14"/>
      <c r="J4" s="15"/>
      <c r="K4" s="15"/>
      <c r="L4" s="15"/>
      <c r="P4" s="15"/>
    </row>
    <row r="5" spans="1:25" s="15" customFormat="1" ht="15" x14ac:dyDescent="0.2">
      <c r="A5" s="45" t="s">
        <v>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</row>
    <row r="6" spans="1:25" s="15" customFormat="1" ht="15" x14ac:dyDescent="0.2">
      <c r="A6" s="45" t="s">
        <v>1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</row>
    <row r="7" spans="1:25" ht="1.5" customHeight="1" x14ac:dyDescent="0.2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25" ht="14.25" customHeight="1" x14ac:dyDescent="0.25">
      <c r="A8" s="48" t="s">
        <v>2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</row>
    <row r="9" spans="1:25" ht="13.5" customHeight="1" x14ac:dyDescent="0.25">
      <c r="A9" s="48" t="s">
        <v>22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</row>
    <row r="10" spans="1:25" s="15" customFormat="1" ht="2.25" customHeight="1" thickBo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8"/>
    </row>
    <row r="11" spans="1:25" s="22" customFormat="1" ht="22.5" customHeight="1" thickBot="1" x14ac:dyDescent="0.25">
      <c r="A11" s="19" t="s">
        <v>3</v>
      </c>
      <c r="B11" s="20">
        <v>2004</v>
      </c>
      <c r="C11" s="20">
        <v>2005</v>
      </c>
      <c r="D11" s="20">
        <v>2006</v>
      </c>
      <c r="E11" s="20">
        <v>2007</v>
      </c>
      <c r="F11" s="20">
        <v>2008</v>
      </c>
      <c r="G11" s="20">
        <v>2009</v>
      </c>
      <c r="H11" s="20">
        <v>2010</v>
      </c>
      <c r="I11" s="20">
        <v>2011</v>
      </c>
      <c r="J11" s="20">
        <v>2012</v>
      </c>
      <c r="K11" s="20">
        <v>2013</v>
      </c>
      <c r="L11" s="21">
        <v>2014</v>
      </c>
      <c r="M11" s="39">
        <v>2015</v>
      </c>
      <c r="N11" s="20">
        <v>2016</v>
      </c>
      <c r="O11" s="20">
        <v>2017</v>
      </c>
      <c r="P11" s="20">
        <v>2018</v>
      </c>
      <c r="Q11" s="20">
        <v>2019</v>
      </c>
      <c r="R11" s="20">
        <v>2020</v>
      </c>
      <c r="S11" s="21">
        <v>2021</v>
      </c>
      <c r="T11" s="21">
        <v>2022</v>
      </c>
      <c r="U11" s="21" t="s">
        <v>20</v>
      </c>
      <c r="V11" s="21">
        <v>2024</v>
      </c>
      <c r="W11" s="41" t="s">
        <v>21</v>
      </c>
      <c r="X11" s="14"/>
      <c r="Y11" s="14"/>
    </row>
    <row r="12" spans="1:25" s="22" customFormat="1" ht="12.75" customHeight="1" x14ac:dyDescent="0.2">
      <c r="A12" s="23"/>
      <c r="B12" s="42"/>
      <c r="C12" s="42"/>
      <c r="D12" s="42"/>
      <c r="E12" s="42"/>
      <c r="F12" s="42"/>
      <c r="G12" s="42"/>
      <c r="H12" s="43"/>
      <c r="I12" s="43"/>
      <c r="J12" s="43"/>
      <c r="K12" s="44"/>
      <c r="L12" s="44"/>
      <c r="M12" s="44"/>
      <c r="N12" s="24"/>
      <c r="O12" s="24"/>
      <c r="P12" s="24"/>
      <c r="Q12" s="24"/>
      <c r="R12" s="24"/>
      <c r="S12" s="24"/>
      <c r="T12" s="24"/>
      <c r="U12" s="24"/>
      <c r="V12" s="24"/>
      <c r="W12" s="25"/>
      <c r="X12" s="14"/>
      <c r="Y12" s="14"/>
    </row>
    <row r="13" spans="1:25" s="22" customFormat="1" ht="15.75" customHeight="1" x14ac:dyDescent="0.2">
      <c r="A13" s="5" t="s">
        <v>4</v>
      </c>
      <c r="B13" s="10">
        <f t="shared" ref="B13:M13" si="0">+B14+B15+B16</f>
        <v>20064</v>
      </c>
      <c r="C13" s="10">
        <f t="shared" si="0"/>
        <v>36626.959999999999</v>
      </c>
      <c r="D13" s="10">
        <f t="shared" si="0"/>
        <v>110798.87000000001</v>
      </c>
      <c r="E13" s="10">
        <f t="shared" si="0"/>
        <v>147694.44</v>
      </c>
      <c r="F13" s="10">
        <f t="shared" si="0"/>
        <v>212704.12</v>
      </c>
      <c r="G13" s="10">
        <f t="shared" si="0"/>
        <v>246585.43</v>
      </c>
      <c r="H13" s="10">
        <f t="shared" si="0"/>
        <v>417290.38</v>
      </c>
      <c r="I13" s="10">
        <f t="shared" si="0"/>
        <v>570302.65</v>
      </c>
      <c r="J13" s="10">
        <f t="shared" si="0"/>
        <v>645157.42999999993</v>
      </c>
      <c r="K13" s="10">
        <f t="shared" si="0"/>
        <v>755335</v>
      </c>
      <c r="L13" s="10">
        <f t="shared" si="0"/>
        <v>772233.66</v>
      </c>
      <c r="M13" s="10">
        <f t="shared" si="0"/>
        <v>511200</v>
      </c>
      <c r="N13" s="10">
        <f>+N14+N15+N16</f>
        <v>585379.84000000008</v>
      </c>
      <c r="O13" s="10">
        <f>+O14+O15+O16</f>
        <v>530027.69000000006</v>
      </c>
      <c r="P13" s="10">
        <f>+P14+P15+P16</f>
        <v>414989.19</v>
      </c>
      <c r="Q13" s="10">
        <f>+Q14+Q15+Q16+Q17</f>
        <v>524908.17000000004</v>
      </c>
      <c r="R13" s="10">
        <f>+R14+R15+R16+R17</f>
        <v>439095.1</v>
      </c>
      <c r="S13" s="10">
        <v>629983.03</v>
      </c>
      <c r="T13" s="10">
        <f>+T14+T15+T16+T17</f>
        <v>648308.41999999993</v>
      </c>
      <c r="U13" s="10">
        <f>+U14+U15+U16+U17</f>
        <v>851410.26</v>
      </c>
      <c r="V13" s="10">
        <f>+V14+V15+V16+V17</f>
        <v>930676.2</v>
      </c>
      <c r="W13" s="9">
        <f>+W14+W15+W16+W17</f>
        <v>1023911.2899999999</v>
      </c>
      <c r="X13" s="14"/>
      <c r="Y13" s="14"/>
    </row>
    <row r="14" spans="1:25" ht="15" customHeight="1" x14ac:dyDescent="0.2">
      <c r="A14" s="1" t="s">
        <v>5</v>
      </c>
      <c r="B14" s="2">
        <f>2006400/100</f>
        <v>20064</v>
      </c>
      <c r="C14" s="2">
        <f>3143402/100</f>
        <v>31434.02</v>
      </c>
      <c r="D14" s="2">
        <f>9332557/100</f>
        <v>93325.57</v>
      </c>
      <c r="E14" s="2">
        <f>12307724/100</f>
        <v>123077.24</v>
      </c>
      <c r="F14" s="2">
        <f>18458504/100</f>
        <v>184585.04</v>
      </c>
      <c r="G14" s="2">
        <f>20069047/100</f>
        <v>200690.47</v>
      </c>
      <c r="H14" s="2">
        <f>28640801/100</f>
        <v>286408.01</v>
      </c>
      <c r="I14" s="2">
        <f>41469300/100</f>
        <v>414693</v>
      </c>
      <c r="J14" s="2">
        <v>442498.62</v>
      </c>
      <c r="K14" s="2">
        <v>518175</v>
      </c>
      <c r="L14" s="2">
        <v>658241.28000000003</v>
      </c>
      <c r="M14" s="2">
        <v>393900</v>
      </c>
      <c r="N14" s="2">
        <v>431284.95</v>
      </c>
      <c r="O14" s="2">
        <v>421291.43</v>
      </c>
      <c r="P14" s="2">
        <v>342630.57</v>
      </c>
      <c r="Q14" s="3">
        <v>437797.21</v>
      </c>
      <c r="R14" s="3">
        <v>367605.91</v>
      </c>
      <c r="S14" s="3">
        <v>509915.12</v>
      </c>
      <c r="T14" s="3">
        <v>518561.52</v>
      </c>
      <c r="U14" s="3">
        <v>702359.42</v>
      </c>
      <c r="V14" s="3">
        <v>743231.06</v>
      </c>
      <c r="W14" s="4">
        <v>816225.33</v>
      </c>
    </row>
    <row r="15" spans="1:25" ht="15" customHeight="1" x14ac:dyDescent="0.2">
      <c r="A15" s="1" t="s">
        <v>6</v>
      </c>
      <c r="B15" s="3">
        <v>0</v>
      </c>
      <c r="C15" s="2">
        <f>519294/100</f>
        <v>5192.9399999999996</v>
      </c>
      <c r="D15" s="2">
        <f>1692330/100</f>
        <v>16923.3</v>
      </c>
      <c r="E15" s="2">
        <f>2232146/100</f>
        <v>22321.46</v>
      </c>
      <c r="F15" s="2">
        <f>1979958/100</f>
        <v>19799.580000000002</v>
      </c>
      <c r="G15" s="2">
        <f>3697916/100</f>
        <v>36979.160000000003</v>
      </c>
      <c r="H15" s="2">
        <f>9114911/100</f>
        <v>91149.11</v>
      </c>
      <c r="I15" s="2">
        <f>12854942/100</f>
        <v>128549.42</v>
      </c>
      <c r="J15" s="2">
        <v>157593.10999999999</v>
      </c>
      <c r="K15" s="2">
        <v>184485</v>
      </c>
      <c r="L15" s="2">
        <v>73880.37</v>
      </c>
      <c r="M15" s="2">
        <v>86900</v>
      </c>
      <c r="N15" s="2">
        <v>131150.14000000001</v>
      </c>
      <c r="O15" s="2">
        <v>58240.65</v>
      </c>
      <c r="P15" s="2">
        <v>48613.82</v>
      </c>
      <c r="Q15" s="3">
        <v>74148.75</v>
      </c>
      <c r="R15" s="3">
        <v>61101.46</v>
      </c>
      <c r="S15" s="3">
        <v>95258.73</v>
      </c>
      <c r="T15" s="3">
        <v>94109.36</v>
      </c>
      <c r="U15" s="3">
        <v>109919.83</v>
      </c>
      <c r="V15" s="3">
        <v>154008.18</v>
      </c>
      <c r="W15" s="4">
        <v>181742.74</v>
      </c>
    </row>
    <row r="16" spans="1:25" ht="15" customHeight="1" x14ac:dyDescent="0.2">
      <c r="A16" s="1" t="s">
        <v>7</v>
      </c>
      <c r="B16" s="3">
        <v>0</v>
      </c>
      <c r="C16" s="3">
        <v>0</v>
      </c>
      <c r="D16" s="2">
        <f>55000/100</f>
        <v>550</v>
      </c>
      <c r="E16" s="2">
        <f>229574/100</f>
        <v>2295.7399999999998</v>
      </c>
      <c r="F16" s="2">
        <f>831950/100</f>
        <v>8319.5</v>
      </c>
      <c r="G16" s="2">
        <f>891580/100</f>
        <v>8915.7999999999993</v>
      </c>
      <c r="H16" s="2">
        <f>3973326/100</f>
        <v>39733.26</v>
      </c>
      <c r="I16" s="2">
        <f>2706023/100</f>
        <v>27060.23</v>
      </c>
      <c r="J16" s="2">
        <v>45065.7</v>
      </c>
      <c r="K16" s="2">
        <v>52675</v>
      </c>
      <c r="L16" s="2">
        <v>40112.01</v>
      </c>
      <c r="M16" s="2">
        <v>30400</v>
      </c>
      <c r="N16" s="2">
        <v>22944.75</v>
      </c>
      <c r="O16" s="2">
        <v>50495.61</v>
      </c>
      <c r="P16" s="2">
        <v>23744.799999999999</v>
      </c>
      <c r="Q16" s="3">
        <v>12672.21</v>
      </c>
      <c r="R16" s="3">
        <v>10387.73</v>
      </c>
      <c r="S16" s="3">
        <v>8160.8</v>
      </c>
      <c r="T16" s="3">
        <v>9253.57</v>
      </c>
      <c r="U16" s="3">
        <v>7700.36</v>
      </c>
      <c r="V16" s="3">
        <v>6128.09</v>
      </c>
      <c r="W16" s="4">
        <v>9074.6</v>
      </c>
    </row>
    <row r="17" spans="1:23" ht="15" customHeight="1" x14ac:dyDescent="0.2">
      <c r="A17" s="1" t="s">
        <v>8</v>
      </c>
      <c r="B17" s="3"/>
      <c r="C17" s="3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>
        <v>0</v>
      </c>
      <c r="Q17" s="3">
        <v>290</v>
      </c>
      <c r="R17" s="3"/>
      <c r="S17" s="3">
        <v>16648.38</v>
      </c>
      <c r="T17" s="3">
        <v>26383.97</v>
      </c>
      <c r="U17" s="3">
        <v>31430.65</v>
      </c>
      <c r="V17" s="3">
        <v>27308.87</v>
      </c>
      <c r="W17" s="4">
        <v>16868.62</v>
      </c>
    </row>
    <row r="18" spans="1:23" ht="15.75" customHeight="1" x14ac:dyDescent="0.2">
      <c r="A18" s="5" t="s">
        <v>9</v>
      </c>
      <c r="B18" s="6">
        <f t="shared" ref="B18:U18" si="1">+B19+B20+B21</f>
        <v>8558</v>
      </c>
      <c r="C18" s="6">
        <f t="shared" si="1"/>
        <v>14670.92</v>
      </c>
      <c r="D18" s="6">
        <f t="shared" si="1"/>
        <v>41780.75</v>
      </c>
      <c r="E18" s="6">
        <f t="shared" si="1"/>
        <v>45376.959999999999</v>
      </c>
      <c r="F18" s="6">
        <f t="shared" si="1"/>
        <v>107027.35</v>
      </c>
      <c r="G18" s="6">
        <f t="shared" si="1"/>
        <v>131635.98000000001</v>
      </c>
      <c r="H18" s="6">
        <f t="shared" si="1"/>
        <v>221464.79</v>
      </c>
      <c r="I18" s="6">
        <f t="shared" si="1"/>
        <v>203834.32</v>
      </c>
      <c r="J18" s="6">
        <f t="shared" si="1"/>
        <v>192938.75999999998</v>
      </c>
      <c r="K18" s="6">
        <f t="shared" si="1"/>
        <v>225914.5</v>
      </c>
      <c r="L18" s="6">
        <f t="shared" si="1"/>
        <v>416182.38</v>
      </c>
      <c r="M18" s="6">
        <f t="shared" si="1"/>
        <v>362500</v>
      </c>
      <c r="N18" s="6">
        <f t="shared" si="1"/>
        <v>559853.88</v>
      </c>
      <c r="O18" s="6">
        <f t="shared" si="1"/>
        <v>671501.85</v>
      </c>
      <c r="P18" s="6">
        <f t="shared" si="1"/>
        <v>791474.16999999993</v>
      </c>
      <c r="Q18" s="6">
        <f t="shared" si="1"/>
        <v>664874.28</v>
      </c>
      <c r="R18" s="6">
        <f t="shared" si="1"/>
        <v>739770.55999999994</v>
      </c>
      <c r="S18" s="6">
        <v>808337.45</v>
      </c>
      <c r="T18" s="6">
        <f t="shared" si="1"/>
        <v>877620.80999999994</v>
      </c>
      <c r="U18" s="6">
        <f t="shared" si="1"/>
        <v>868532.93</v>
      </c>
      <c r="V18" s="6">
        <f t="shared" ref="V18:W18" si="2">+V19+V20+V21</f>
        <v>866890</v>
      </c>
      <c r="W18" s="7">
        <f t="shared" si="2"/>
        <v>795334.46</v>
      </c>
    </row>
    <row r="19" spans="1:23" ht="15" customHeight="1" x14ac:dyDescent="0.2">
      <c r="A19" s="1" t="s">
        <v>10</v>
      </c>
      <c r="B19" s="2">
        <f>693000/100</f>
        <v>6930</v>
      </c>
      <c r="C19" s="2">
        <f>884610/100</f>
        <v>8846.1</v>
      </c>
      <c r="D19" s="2">
        <f>729457/100</f>
        <v>7294.57</v>
      </c>
      <c r="E19" s="2">
        <f>947324/100</f>
        <v>9473.24</v>
      </c>
      <c r="F19" s="2">
        <f>2173775/100</f>
        <v>21737.75</v>
      </c>
      <c r="G19" s="2">
        <f>1208121/100</f>
        <v>12081.21</v>
      </c>
      <c r="H19" s="2">
        <f>6141760/100</f>
        <v>61417.599999999999</v>
      </c>
      <c r="I19" s="2">
        <f>2393910/100</f>
        <v>23939.1</v>
      </c>
      <c r="J19" s="2">
        <v>11050.8</v>
      </c>
      <c r="K19" s="2">
        <v>12985</v>
      </c>
      <c r="L19" s="2">
        <v>9765</v>
      </c>
      <c r="M19" s="2">
        <v>52900</v>
      </c>
      <c r="N19" s="2">
        <v>42260.91</v>
      </c>
      <c r="O19" s="2">
        <v>52431.92</v>
      </c>
      <c r="P19" s="2">
        <v>91740.72</v>
      </c>
      <c r="Q19" s="3">
        <v>134706.04999999999</v>
      </c>
      <c r="R19" s="3">
        <v>219550.67</v>
      </c>
      <c r="S19" s="3">
        <v>266527.77</v>
      </c>
      <c r="T19" s="3">
        <v>235386.93</v>
      </c>
      <c r="U19" s="3">
        <v>201843.91</v>
      </c>
      <c r="V19" s="3">
        <v>179839.81</v>
      </c>
      <c r="W19" s="4">
        <v>133303.60999999999</v>
      </c>
    </row>
    <row r="20" spans="1:23" ht="15" customHeight="1" x14ac:dyDescent="0.2">
      <c r="A20" s="1" t="s">
        <v>11</v>
      </c>
      <c r="B20" s="2">
        <f>162800/100</f>
        <v>1628</v>
      </c>
      <c r="C20" s="2">
        <f>582482/100</f>
        <v>5824.82</v>
      </c>
      <c r="D20" s="2">
        <f>3448618/100</f>
        <v>34486.18</v>
      </c>
      <c r="E20" s="2">
        <f>3590372/100</f>
        <v>35903.72</v>
      </c>
      <c r="F20" s="2">
        <f>8528960/100</f>
        <v>85289.600000000006</v>
      </c>
      <c r="G20" s="2">
        <f>11955477/100</f>
        <v>119554.77</v>
      </c>
      <c r="H20" s="2">
        <f>14756081/100</f>
        <v>147560.81</v>
      </c>
      <c r="I20" s="2">
        <f>17943522/100</f>
        <v>179435.22</v>
      </c>
      <c r="J20" s="2">
        <v>181139.96</v>
      </c>
      <c r="K20" s="2">
        <v>212047.5</v>
      </c>
      <c r="L20" s="2">
        <v>368188.38</v>
      </c>
      <c r="M20" s="2">
        <v>288600</v>
      </c>
      <c r="N20" s="2">
        <v>388207.44</v>
      </c>
      <c r="O20" s="2">
        <v>553995.69999999995</v>
      </c>
      <c r="P20" s="2">
        <v>584741.56999999995</v>
      </c>
      <c r="Q20" s="3">
        <v>415209.57</v>
      </c>
      <c r="R20" s="3">
        <v>402988.66</v>
      </c>
      <c r="S20" s="3">
        <v>359451.21</v>
      </c>
      <c r="T20" s="3">
        <v>488882.66</v>
      </c>
      <c r="U20" s="3">
        <v>526322.79</v>
      </c>
      <c r="V20" s="3">
        <v>553996.93000000005</v>
      </c>
      <c r="W20" s="4">
        <v>556100.74</v>
      </c>
    </row>
    <row r="21" spans="1:23" ht="15" customHeight="1" x14ac:dyDescent="0.2">
      <c r="A21" s="1" t="s">
        <v>12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2">
        <f>1248638/100</f>
        <v>12486.38</v>
      </c>
      <c r="I21" s="2">
        <f>46000/100</f>
        <v>460</v>
      </c>
      <c r="J21" s="2">
        <v>748</v>
      </c>
      <c r="K21" s="2">
        <v>882</v>
      </c>
      <c r="L21" s="2">
        <v>38229</v>
      </c>
      <c r="M21" s="2">
        <v>21000</v>
      </c>
      <c r="N21" s="2">
        <v>129385.53</v>
      </c>
      <c r="O21" s="2">
        <v>65074.23</v>
      </c>
      <c r="P21" s="2">
        <v>114991.88</v>
      </c>
      <c r="Q21" s="3">
        <v>114958.66</v>
      </c>
      <c r="R21" s="3">
        <v>117231.23</v>
      </c>
      <c r="S21" s="3">
        <v>182358</v>
      </c>
      <c r="T21" s="3">
        <v>153351.22</v>
      </c>
      <c r="U21" s="3">
        <v>140366.23000000001</v>
      </c>
      <c r="V21" s="3">
        <v>133053.26</v>
      </c>
      <c r="W21" s="4">
        <v>105930.11</v>
      </c>
    </row>
    <row r="22" spans="1:23" ht="15" customHeight="1" x14ac:dyDescent="0.2">
      <c r="A22" s="5" t="s">
        <v>13</v>
      </c>
      <c r="B22" s="6">
        <f>1144000/100</f>
        <v>11440</v>
      </c>
      <c r="C22" s="6">
        <f>3432734/100</f>
        <v>34327.339999999997</v>
      </c>
      <c r="D22" s="6">
        <f>6991256/100</f>
        <v>69912.56</v>
      </c>
      <c r="E22" s="6">
        <f>7358974/100</f>
        <v>73589.740000000005</v>
      </c>
      <c r="F22" s="6">
        <f>8936978/100</f>
        <v>89369.78</v>
      </c>
      <c r="G22" s="6">
        <f>10315886/100</f>
        <v>103158.86</v>
      </c>
      <c r="H22" s="6">
        <f>6996809/100</f>
        <v>69968.09</v>
      </c>
      <c r="I22" s="6">
        <f>8863601/100</f>
        <v>88636.01</v>
      </c>
      <c r="J22" s="6">
        <v>157444.66</v>
      </c>
      <c r="K22" s="6">
        <v>184362.5</v>
      </c>
      <c r="L22" s="6">
        <v>132897.82999999999</v>
      </c>
      <c r="M22" s="6">
        <v>200099.99999999997</v>
      </c>
      <c r="N22" s="6">
        <v>202540.56</v>
      </c>
      <c r="O22" s="6">
        <v>231133.94</v>
      </c>
      <c r="P22" s="6">
        <v>227866.59</v>
      </c>
      <c r="Q22" s="6">
        <v>246284.69</v>
      </c>
      <c r="R22" s="6">
        <v>254334.61</v>
      </c>
      <c r="S22" s="38">
        <v>394066.36</v>
      </c>
      <c r="T22" s="6">
        <v>373536.4</v>
      </c>
      <c r="U22" s="6">
        <v>402108.59</v>
      </c>
      <c r="V22" s="6">
        <v>313065.48</v>
      </c>
      <c r="W22" s="7">
        <v>259495.04000000001</v>
      </c>
    </row>
    <row r="23" spans="1:23" ht="15.75" customHeight="1" x14ac:dyDescent="0.2">
      <c r="A23" s="5" t="s">
        <v>15</v>
      </c>
      <c r="B23" s="8">
        <v>0</v>
      </c>
      <c r="C23" s="6">
        <f>35325/100</f>
        <v>353.25</v>
      </c>
      <c r="D23" s="6">
        <f>168198/100</f>
        <v>1681.98</v>
      </c>
      <c r="E23" s="6">
        <f>29667/100</f>
        <v>296.67</v>
      </c>
      <c r="F23" s="6">
        <f>213500/100</f>
        <v>2135</v>
      </c>
      <c r="G23" s="6">
        <f>3180525/100</f>
        <v>31805.25</v>
      </c>
      <c r="H23" s="6">
        <f>584000/100</f>
        <v>5840</v>
      </c>
      <c r="I23" s="6">
        <f>321900/100</f>
        <v>3219</v>
      </c>
      <c r="J23" s="6">
        <v>5821.92</v>
      </c>
      <c r="K23" s="6">
        <v>6737.5</v>
      </c>
      <c r="L23" s="6">
        <v>62488.83</v>
      </c>
      <c r="M23" s="6">
        <v>10600</v>
      </c>
      <c r="N23" s="6">
        <v>15975.45</v>
      </c>
      <c r="O23" s="6">
        <v>18536.71</v>
      </c>
      <c r="P23" s="6">
        <v>19857.810000000001</v>
      </c>
      <c r="Q23" s="6">
        <v>22268.23</v>
      </c>
      <c r="R23" s="6">
        <v>31850.39</v>
      </c>
      <c r="S23" s="6">
        <v>167362.26999999999</v>
      </c>
      <c r="T23" s="6">
        <v>232512.32</v>
      </c>
      <c r="U23" s="6">
        <v>389188.4</v>
      </c>
      <c r="V23" s="6">
        <v>486981.61000000004</v>
      </c>
      <c r="W23" s="7">
        <v>462962.37</v>
      </c>
    </row>
    <row r="24" spans="1:23" ht="15.75" customHeight="1" thickBot="1" x14ac:dyDescent="0.25">
      <c r="A24" s="5" t="s">
        <v>14</v>
      </c>
      <c r="B24" s="8">
        <v>0</v>
      </c>
      <c r="C24" s="8">
        <v>0</v>
      </c>
      <c r="D24" s="6">
        <f>1200000/100</f>
        <v>12000</v>
      </c>
      <c r="E24" s="6">
        <f>1600000/100</f>
        <v>16000</v>
      </c>
      <c r="F24" s="6">
        <f>2100000/100</f>
        <v>21000</v>
      </c>
      <c r="G24" s="6">
        <f>2231900/100</f>
        <v>22319</v>
      </c>
      <c r="H24" s="6">
        <f>1019931/100</f>
        <v>10199.31</v>
      </c>
      <c r="I24" s="6">
        <f>2775050/100</f>
        <v>27750.5</v>
      </c>
      <c r="J24" s="6">
        <v>44637.24</v>
      </c>
      <c r="K24" s="6">
        <v>52650.51</v>
      </c>
      <c r="L24" s="6">
        <v>19200.11</v>
      </c>
      <c r="M24" s="6">
        <v>12600</v>
      </c>
      <c r="N24" s="6">
        <v>9509.17</v>
      </c>
      <c r="O24" s="6">
        <v>12104.27</v>
      </c>
      <c r="P24" s="6">
        <v>11962</v>
      </c>
      <c r="Q24" s="6">
        <v>16628.79</v>
      </c>
      <c r="R24" s="6">
        <v>16063.53</v>
      </c>
      <c r="S24" s="6">
        <v>10844.76</v>
      </c>
      <c r="T24" s="6">
        <v>16269.18</v>
      </c>
      <c r="U24" s="6">
        <v>35308.589999999997</v>
      </c>
      <c r="V24" s="6">
        <v>39163.79</v>
      </c>
      <c r="W24" s="7">
        <v>43872.39</v>
      </c>
    </row>
    <row r="25" spans="1:23" ht="18" customHeight="1" thickBot="1" x14ac:dyDescent="0.25">
      <c r="A25" s="11" t="s">
        <v>16</v>
      </c>
      <c r="B25" s="12">
        <f t="shared" ref="B25:S25" si="3">B13+B18+B22+B24+B23</f>
        <v>40062</v>
      </c>
      <c r="C25" s="12">
        <f t="shared" si="3"/>
        <v>85978.47</v>
      </c>
      <c r="D25" s="12">
        <f t="shared" si="3"/>
        <v>236174.16</v>
      </c>
      <c r="E25" s="12">
        <f t="shared" si="3"/>
        <v>282957.81</v>
      </c>
      <c r="F25" s="12">
        <f t="shared" si="3"/>
        <v>432236.25</v>
      </c>
      <c r="G25" s="12">
        <f t="shared" si="3"/>
        <v>535504.52</v>
      </c>
      <c r="H25" s="12">
        <f t="shared" si="3"/>
        <v>724762.57000000007</v>
      </c>
      <c r="I25" s="12">
        <f t="shared" si="3"/>
        <v>893742.48</v>
      </c>
      <c r="J25" s="12">
        <f t="shared" si="3"/>
        <v>1046000.01</v>
      </c>
      <c r="K25" s="12">
        <f t="shared" si="3"/>
        <v>1225000.01</v>
      </c>
      <c r="L25" s="12">
        <f t="shared" si="3"/>
        <v>1403002.8100000003</v>
      </c>
      <c r="M25" s="12">
        <f t="shared" si="3"/>
        <v>1097000</v>
      </c>
      <c r="N25" s="12">
        <f t="shared" si="3"/>
        <v>1373258.9000000001</v>
      </c>
      <c r="O25" s="12">
        <f t="shared" si="3"/>
        <v>1463304.46</v>
      </c>
      <c r="P25" s="12">
        <f t="shared" si="3"/>
        <v>1466149.76</v>
      </c>
      <c r="Q25" s="12">
        <f t="shared" si="3"/>
        <v>1474964.1600000001</v>
      </c>
      <c r="R25" s="12">
        <f t="shared" si="3"/>
        <v>1481114.19</v>
      </c>
      <c r="S25" s="13">
        <f t="shared" si="3"/>
        <v>2010593.8699999999</v>
      </c>
      <c r="T25" s="13">
        <f>T13+T18+T22+T24+T23</f>
        <v>2148247.13</v>
      </c>
      <c r="U25" s="12">
        <f>U13+U18+U22+U24+U23</f>
        <v>2546548.7699999996</v>
      </c>
      <c r="V25" s="13">
        <f>V13+V18+V22+V24+V23</f>
        <v>2636777.0799999996</v>
      </c>
      <c r="W25" s="40">
        <f>W13+W18+W22+W24+W23</f>
        <v>2585575.5500000003</v>
      </c>
    </row>
    <row r="26" spans="1:23" s="15" customFormat="1" ht="12.75" customHeight="1" x14ac:dyDescent="0.2">
      <c r="A26" s="28" t="s">
        <v>18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</row>
    <row r="27" spans="1:23" ht="12.75" customHeight="1" x14ac:dyDescent="0.2">
      <c r="A27" s="46" t="s">
        <v>19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T27" s="26"/>
    </row>
    <row r="28" spans="1:23" ht="12.75" customHeight="1" x14ac:dyDescent="0.2">
      <c r="A28" s="30" t="s">
        <v>17</v>
      </c>
      <c r="B28" s="37"/>
      <c r="C28" s="37"/>
      <c r="D28" s="37"/>
      <c r="E28" s="37"/>
      <c r="F28" s="37"/>
      <c r="G28" s="37"/>
      <c r="H28" s="37"/>
      <c r="I28" s="37"/>
      <c r="J28" s="37"/>
      <c r="K28" s="31"/>
      <c r="L28" s="15"/>
      <c r="M28" s="32"/>
      <c r="O28" s="33"/>
      <c r="P28" s="34"/>
      <c r="Q28" s="34"/>
      <c r="R28" s="34"/>
      <c r="S28" s="34"/>
    </row>
    <row r="29" spans="1:23" ht="12.75" customHeight="1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5"/>
      <c r="K29" s="15"/>
      <c r="L29" s="15"/>
      <c r="P29" s="15"/>
    </row>
    <row r="30" spans="1:23" ht="26.2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5"/>
      <c r="K30" s="15"/>
      <c r="L30" s="15"/>
      <c r="P30" s="34"/>
    </row>
    <row r="31" spans="1:23" x14ac:dyDescent="0.2">
      <c r="A31" s="14"/>
      <c r="B31" s="35"/>
      <c r="C31" s="35"/>
      <c r="D31" s="35"/>
      <c r="E31" s="35"/>
      <c r="F31" s="35"/>
      <c r="G31" s="35"/>
      <c r="H31" s="35"/>
      <c r="I31" s="35"/>
      <c r="J31" s="35"/>
      <c r="K31" s="31"/>
      <c r="L31" s="15"/>
      <c r="P31" s="27"/>
    </row>
    <row r="32" spans="1:23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5"/>
      <c r="K32" s="15"/>
      <c r="L32" s="15"/>
    </row>
    <row r="33" spans="1:16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5"/>
      <c r="K33" s="15"/>
      <c r="L33" s="15"/>
      <c r="P33" s="36"/>
    </row>
  </sheetData>
  <mergeCells count="6">
    <mergeCell ref="A5:W5"/>
    <mergeCell ref="A27:R27"/>
    <mergeCell ref="A7:P7"/>
    <mergeCell ref="A9:W9"/>
    <mergeCell ref="A8:W8"/>
    <mergeCell ref="A6:W6"/>
  </mergeCells>
  <pageMargins left="0.19685039370078741" right="0.19685039370078741" top="0.74" bottom="0.3937007874015748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Produccion bajo amb. proteg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adelle borbon</dc:creator>
  <cp:lastModifiedBy>Marisleida Herrera</cp:lastModifiedBy>
  <dcterms:created xsi:type="dcterms:W3CDTF">2022-03-18T14:08:29Z</dcterms:created>
  <dcterms:modified xsi:type="dcterms:W3CDTF">2026-05-27T16:34:38Z</dcterms:modified>
</cp:coreProperties>
</file>