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71BF7594-188D-4D23-B57E-278E79B7951B}" xr6:coauthVersionLast="47" xr6:coauthVersionMax="47" xr10:uidLastSave="{00000000-0000-0000-0000-000000000000}"/>
  <bookViews>
    <workbookView xWindow="-120" yWindow="-120" windowWidth="20730" windowHeight="11040" tabRatio="779" firstSheet="1" activeTab="1" xr2:uid="{00000000-000D-0000-FFFF-FFFF00000000}"/>
  </bookViews>
  <sheets>
    <sheet name="11.1.2 (2)" sheetId="3" state="hidden" r:id="rId1"/>
    <sheet name="11.1.2 " sheetId="5" r:id="rId2"/>
  </sheets>
  <definedNames>
    <definedName name="_xlnm.Print_Area" localSheetId="0">'11.1.2 (2)'!$A$1:$H$47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1" i="5" l="1"/>
  <c r="D140" i="5" s="1"/>
  <c r="D114" i="5"/>
  <c r="C141" i="5"/>
  <c r="C140" i="5" s="1"/>
  <c r="C114" i="5"/>
  <c r="D151" i="5" l="1"/>
  <c r="C151" i="5"/>
  <c r="B141" i="5"/>
  <c r="B140" i="5" s="1"/>
  <c r="K89" i="5"/>
  <c r="K88" i="5" s="1"/>
  <c r="B114" i="5" l="1"/>
  <c r="J97" i="5"/>
  <c r="I97" i="5"/>
  <c r="J95" i="5"/>
  <c r="I95" i="5"/>
  <c r="F95" i="5"/>
  <c r="J93" i="5"/>
  <c r="I93" i="5"/>
  <c r="F93" i="5"/>
  <c r="E93" i="5"/>
  <c r="C93" i="5"/>
  <c r="B93" i="5"/>
  <c r="B88" i="5" s="1"/>
  <c r="J91" i="5"/>
  <c r="I91" i="5"/>
  <c r="F91" i="5"/>
  <c r="E91" i="5"/>
  <c r="C91" i="5"/>
  <c r="J90" i="5"/>
  <c r="I90" i="5"/>
  <c r="F90" i="5"/>
  <c r="E90" i="5"/>
  <c r="C90" i="5"/>
  <c r="B90" i="5"/>
  <c r="H89" i="5"/>
  <c r="G89" i="5"/>
  <c r="G88" i="5" s="1"/>
  <c r="D89" i="5"/>
  <c r="B89" i="5"/>
  <c r="H88" i="5"/>
  <c r="D88" i="5"/>
  <c r="J79" i="5"/>
  <c r="F79" i="5"/>
  <c r="C79" i="5"/>
  <c r="B79" i="5"/>
  <c r="B75" i="5"/>
  <c r="J74" i="5"/>
  <c r="I74" i="5"/>
  <c r="F74" i="5"/>
  <c r="C74" i="5"/>
  <c r="B74" i="5"/>
  <c r="J72" i="5"/>
  <c r="I72" i="5"/>
  <c r="F72" i="5"/>
  <c r="C72" i="5"/>
  <c r="B72" i="5"/>
  <c r="F71" i="5"/>
  <c r="C71" i="5"/>
  <c r="B71" i="5"/>
  <c r="B70" i="5"/>
  <c r="B69" i="5"/>
  <c r="J68" i="5"/>
  <c r="C68" i="5"/>
  <c r="B68" i="5"/>
  <c r="J67" i="5"/>
  <c r="I67" i="5"/>
  <c r="F67" i="5"/>
  <c r="C67" i="5"/>
  <c r="B67" i="5"/>
  <c r="J66" i="5"/>
  <c r="I66" i="5"/>
  <c r="F66" i="5"/>
  <c r="C66" i="5"/>
  <c r="B66" i="5"/>
  <c r="J64" i="5"/>
  <c r="I64" i="5"/>
  <c r="F64" i="5"/>
  <c r="C64" i="5"/>
  <c r="B64" i="5"/>
  <c r="J63" i="5"/>
  <c r="I63" i="5"/>
  <c r="F63" i="5"/>
  <c r="C63" i="5"/>
  <c r="B63" i="5"/>
  <c r="K62" i="5"/>
  <c r="H62" i="5"/>
  <c r="G62" i="5"/>
  <c r="E62" i="5"/>
  <c r="D62" i="5"/>
  <c r="K44" i="5"/>
  <c r="K43" i="5"/>
  <c r="K42" i="5"/>
  <c r="J42" i="5"/>
  <c r="K39" i="5"/>
  <c r="K38" i="5" s="1"/>
  <c r="J39" i="5"/>
  <c r="J38" i="5"/>
  <c r="I38" i="5"/>
  <c r="H38" i="5"/>
  <c r="G38" i="5"/>
  <c r="G37" i="5" s="1"/>
  <c r="G47" i="5" s="1"/>
  <c r="F38" i="5"/>
  <c r="F37" i="5" s="1"/>
  <c r="E38" i="5"/>
  <c r="E37" i="5" s="1"/>
  <c r="D38" i="5"/>
  <c r="C38" i="5"/>
  <c r="C37" i="5" s="1"/>
  <c r="D37" i="5"/>
  <c r="B37" i="5"/>
  <c r="J28" i="5"/>
  <c r="K23" i="5"/>
  <c r="J23" i="5"/>
  <c r="K21" i="5"/>
  <c r="J21" i="5"/>
  <c r="K20" i="5"/>
  <c r="J20" i="5"/>
  <c r="K17" i="5"/>
  <c r="J17" i="5"/>
  <c r="K16" i="5"/>
  <c r="J16" i="5"/>
  <c r="K15" i="5"/>
  <c r="J15" i="5"/>
  <c r="K13" i="5"/>
  <c r="J13" i="5"/>
  <c r="K12" i="5"/>
  <c r="J12" i="5"/>
  <c r="H11" i="5"/>
  <c r="F11" i="5"/>
  <c r="E11" i="5"/>
  <c r="D11" i="5"/>
  <c r="C11" i="5"/>
  <c r="B11" i="5"/>
  <c r="J37" i="5" l="1"/>
  <c r="B151" i="5"/>
  <c r="C89" i="5"/>
  <c r="C88" i="5" s="1"/>
  <c r="E89" i="5"/>
  <c r="E88" i="5" s="1"/>
  <c r="E98" i="5" s="1"/>
  <c r="I62" i="5"/>
  <c r="F89" i="5"/>
  <c r="K11" i="5"/>
  <c r="J89" i="5"/>
  <c r="J88" i="5" s="1"/>
  <c r="K37" i="5"/>
  <c r="K47" i="5" s="1"/>
  <c r="F88" i="5"/>
  <c r="F62" i="5"/>
  <c r="J11" i="5"/>
  <c r="C62" i="5"/>
  <c r="B62" i="5"/>
  <c r="B98" i="5" s="1"/>
  <c r="J62" i="5"/>
  <c r="J98" i="5" s="1"/>
  <c r="B47" i="5"/>
  <c r="I89" i="5"/>
  <c r="I88" i="5" s="1"/>
  <c r="I98" i="5" s="1"/>
  <c r="E47" i="5"/>
  <c r="F47" i="5"/>
  <c r="C47" i="5"/>
  <c r="D47" i="5"/>
  <c r="D98" i="5"/>
  <c r="G98" i="5"/>
  <c r="H98" i="5"/>
  <c r="K98" i="5"/>
  <c r="J47" i="5" l="1"/>
  <c r="C98" i="5"/>
  <c r="F98" i="5"/>
  <c r="N32" i="3"/>
  <c r="O32" i="3"/>
  <c r="P32" i="3"/>
  <c r="Q32" i="3"/>
  <c r="B9" i="3"/>
  <c r="B10" i="3"/>
  <c r="B12" i="3"/>
  <c r="B13" i="3"/>
  <c r="B14" i="3"/>
  <c r="B17" i="3"/>
  <c r="B18" i="3"/>
  <c r="B20" i="3"/>
  <c r="C9" i="3"/>
  <c r="C10" i="3"/>
  <c r="C12" i="3"/>
  <c r="C13" i="3"/>
  <c r="C14" i="3"/>
  <c r="L14" i="3" s="1"/>
  <c r="C15" i="3"/>
  <c r="L15" i="3" s="1"/>
  <c r="C16" i="3"/>
  <c r="L16" i="3" s="1"/>
  <c r="C17" i="3"/>
  <c r="C18" i="3"/>
  <c r="C20" i="3"/>
  <c r="C21" i="3"/>
  <c r="L21" i="3" s="1"/>
  <c r="C25" i="3"/>
  <c r="L25" i="3" s="1"/>
  <c r="D9" i="3"/>
  <c r="N9" i="3" s="1"/>
  <c r="D10" i="3"/>
  <c r="D12" i="3"/>
  <c r="N12" i="3" s="1"/>
  <c r="D13" i="3"/>
  <c r="N13" i="3"/>
  <c r="D14" i="3"/>
  <c r="D17" i="3"/>
  <c r="N17" i="3" s="1"/>
  <c r="D18" i="3"/>
  <c r="D20" i="3"/>
  <c r="N20" i="3" s="1"/>
  <c r="D25" i="3"/>
  <c r="M25" i="3" s="1"/>
  <c r="E8" i="3"/>
  <c r="F8" i="3"/>
  <c r="G9" i="3"/>
  <c r="G10" i="3"/>
  <c r="P10" i="3" s="1"/>
  <c r="G12" i="3"/>
  <c r="Q12" i="3" s="1"/>
  <c r="G13" i="3"/>
  <c r="P13" i="3" s="1"/>
  <c r="G17" i="3"/>
  <c r="P17" i="3" s="1"/>
  <c r="G18" i="3"/>
  <c r="P18" i="3" s="1"/>
  <c r="G20" i="3"/>
  <c r="P20" i="3" s="1"/>
  <c r="G25" i="3"/>
  <c r="Q25" i="3" s="1"/>
  <c r="H8" i="3"/>
  <c r="H35" i="3"/>
  <c r="H34" i="3" s="1"/>
  <c r="H44" i="3" s="1"/>
  <c r="G39" i="3"/>
  <c r="Q39" i="3" s="1"/>
  <c r="G37" i="3"/>
  <c r="G36" i="3"/>
  <c r="Q36" i="3" s="1"/>
  <c r="G41" i="3"/>
  <c r="P41" i="3" s="1"/>
  <c r="C39" i="3"/>
  <c r="C36" i="3"/>
  <c r="M36" i="3" s="1"/>
  <c r="C35" i="3"/>
  <c r="B40" i="3"/>
  <c r="L40" i="3" s="1"/>
  <c r="R40" i="3" s="1"/>
  <c r="B39" i="3"/>
  <c r="B36" i="3"/>
  <c r="B41" i="3"/>
  <c r="L41" i="3" s="1"/>
  <c r="O10" i="3"/>
  <c r="L11" i="3"/>
  <c r="M11" i="3"/>
  <c r="N11" i="3"/>
  <c r="O11" i="3"/>
  <c r="P11" i="3"/>
  <c r="Q11" i="3"/>
  <c r="O12" i="3"/>
  <c r="P12" i="3"/>
  <c r="O13" i="3"/>
  <c r="Q13" i="3"/>
  <c r="N14" i="3"/>
  <c r="O14" i="3"/>
  <c r="P14" i="3"/>
  <c r="Q14" i="3"/>
  <c r="N15" i="3"/>
  <c r="O15" i="3"/>
  <c r="P15" i="3"/>
  <c r="Q15" i="3"/>
  <c r="M16" i="3"/>
  <c r="N16" i="3"/>
  <c r="O16" i="3"/>
  <c r="P16" i="3"/>
  <c r="Q16" i="3"/>
  <c r="O17" i="3"/>
  <c r="O18" i="3"/>
  <c r="Q18" i="3"/>
  <c r="O20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O25" i="3"/>
  <c r="P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3" i="3"/>
  <c r="M33" i="3"/>
  <c r="N33" i="3"/>
  <c r="O33" i="3"/>
  <c r="P33" i="3"/>
  <c r="Q33" i="3"/>
  <c r="D39" i="3"/>
  <c r="N39" i="3"/>
  <c r="D37" i="3"/>
  <c r="M37" i="3" s="1"/>
  <c r="D36" i="3"/>
  <c r="E35" i="3"/>
  <c r="E34" i="3"/>
  <c r="F39" i="3"/>
  <c r="F37" i="3"/>
  <c r="F36" i="3"/>
  <c r="O36" i="3" s="1"/>
  <c r="N36" i="3"/>
  <c r="L37" i="3"/>
  <c r="L38" i="3"/>
  <c r="M38" i="3"/>
  <c r="N38" i="3"/>
  <c r="O38" i="3"/>
  <c r="P38" i="3"/>
  <c r="Q38" i="3"/>
  <c r="M39" i="3"/>
  <c r="O39" i="3"/>
  <c r="P39" i="3"/>
  <c r="M40" i="3"/>
  <c r="N40" i="3"/>
  <c r="O40" i="3"/>
  <c r="P40" i="3"/>
  <c r="Q40" i="3"/>
  <c r="M41" i="3"/>
  <c r="N41" i="3"/>
  <c r="O41" i="3"/>
  <c r="L42" i="3"/>
  <c r="M42" i="3"/>
  <c r="N42" i="3"/>
  <c r="O42" i="3"/>
  <c r="P42" i="3"/>
  <c r="Q42" i="3"/>
  <c r="L43" i="3"/>
  <c r="M43" i="3"/>
  <c r="N43" i="3"/>
  <c r="O43" i="3"/>
  <c r="P43" i="3"/>
  <c r="Q43" i="3"/>
  <c r="O9" i="3"/>
  <c r="Q17" i="3"/>
  <c r="M15" i="3" l="1"/>
  <c r="N37" i="3"/>
  <c r="M9" i="3"/>
  <c r="L18" i="3"/>
  <c r="M14" i="3"/>
  <c r="M12" i="3"/>
  <c r="D35" i="3"/>
  <c r="D34" i="3" s="1"/>
  <c r="N34" i="3" s="1"/>
  <c r="R15" i="3"/>
  <c r="L20" i="3"/>
  <c r="R42" i="3"/>
  <c r="R38" i="3"/>
  <c r="R30" i="3"/>
  <c r="R26" i="3"/>
  <c r="R22" i="3"/>
  <c r="R11" i="3"/>
  <c r="R32" i="3"/>
  <c r="R33" i="3"/>
  <c r="R31" i="3"/>
  <c r="R28" i="3"/>
  <c r="R27" i="3"/>
  <c r="R23" i="3"/>
  <c r="R21" i="3"/>
  <c r="M20" i="3"/>
  <c r="M17" i="3"/>
  <c r="R14" i="3"/>
  <c r="O8" i="3"/>
  <c r="M18" i="3"/>
  <c r="L17" i="3"/>
  <c r="L12" i="3"/>
  <c r="R12" i="3" s="1"/>
  <c r="B35" i="3"/>
  <c r="L36" i="3"/>
  <c r="G35" i="3"/>
  <c r="P37" i="3"/>
  <c r="M10" i="3"/>
  <c r="N10" i="3"/>
  <c r="D8" i="3"/>
  <c r="R17" i="3"/>
  <c r="C8" i="3"/>
  <c r="L10" i="3"/>
  <c r="P36" i="3"/>
  <c r="R43" i="3"/>
  <c r="Q41" i="3"/>
  <c r="R41" i="3" s="1"/>
  <c r="Q37" i="3"/>
  <c r="F35" i="3"/>
  <c r="O37" i="3"/>
  <c r="E44" i="3"/>
  <c r="M35" i="3"/>
  <c r="N35" i="3"/>
  <c r="R29" i="3"/>
  <c r="N25" i="3"/>
  <c r="R25" i="3" s="1"/>
  <c r="R24" i="3"/>
  <c r="Q20" i="3"/>
  <c r="R20" i="3" s="1"/>
  <c r="N18" i="3"/>
  <c r="R16" i="3"/>
  <c r="Q10" i="3"/>
  <c r="L39" i="3"/>
  <c r="R39" i="3" s="1"/>
  <c r="C34" i="3"/>
  <c r="P9" i="3"/>
  <c r="G8" i="3"/>
  <c r="Q9" i="3"/>
  <c r="L13" i="3"/>
  <c r="M13" i="3"/>
  <c r="B8" i="3"/>
  <c r="L9" i="3"/>
  <c r="R9" i="3" l="1"/>
  <c r="R37" i="3"/>
  <c r="R13" i="3"/>
  <c r="R18" i="3"/>
  <c r="P8" i="3"/>
  <c r="Q8" i="3"/>
  <c r="C44" i="3"/>
  <c r="F34" i="3"/>
  <c r="O35" i="3"/>
  <c r="M34" i="3"/>
  <c r="L8" i="3"/>
  <c r="N8" i="3"/>
  <c r="M8" i="3"/>
  <c r="D44" i="3"/>
  <c r="G34" i="3"/>
  <c r="P35" i="3"/>
  <c r="Q35" i="3"/>
  <c r="B34" i="3"/>
  <c r="B44" i="3" s="1"/>
  <c r="L35" i="3"/>
  <c r="R10" i="3"/>
  <c r="R36" i="3"/>
  <c r="M44" i="3" l="1"/>
  <c r="F44" i="3"/>
  <c r="O44" i="3" s="1"/>
  <c r="O34" i="3"/>
  <c r="L34" i="3"/>
  <c r="R35" i="3"/>
  <c r="P34" i="3"/>
  <c r="G44" i="3"/>
  <c r="Q34" i="3"/>
  <c r="R8" i="3"/>
  <c r="N44" i="3"/>
  <c r="L44" i="3"/>
  <c r="P44" i="3" l="1"/>
  <c r="Q44" i="3"/>
  <c r="R34" i="3"/>
  <c r="R44" i="3" l="1"/>
</calcChain>
</file>

<file path=xl/sharedStrings.xml><?xml version="1.0" encoding="utf-8"?>
<sst xmlns="http://schemas.openxmlformats.org/spreadsheetml/2006/main" count="232" uniqueCount="71">
  <si>
    <t>Sub-sectores</t>
  </si>
  <si>
    <t>A. AGRICOLA</t>
  </si>
  <si>
    <t xml:space="preserve">  Arroz</t>
  </si>
  <si>
    <t xml:space="preserve">  Café</t>
  </si>
  <si>
    <t xml:space="preserve">  Plátano</t>
  </si>
  <si>
    <t xml:space="preserve">  Habichuelas</t>
  </si>
  <si>
    <t xml:space="preserve">  Cacao</t>
  </si>
  <si>
    <t xml:space="preserve">  Maíz</t>
  </si>
  <si>
    <t xml:space="preserve">  Yuca</t>
  </si>
  <si>
    <t xml:space="preserve">  Yautía</t>
  </si>
  <si>
    <t xml:space="preserve">  Guandul</t>
  </si>
  <si>
    <t xml:space="preserve">  Tabaco</t>
  </si>
  <si>
    <t xml:space="preserve">  Sorgo</t>
  </si>
  <si>
    <t xml:space="preserve">  Coco</t>
  </si>
  <si>
    <t xml:space="preserve">  Cebolla</t>
  </si>
  <si>
    <t xml:space="preserve">  Papa</t>
  </si>
  <si>
    <t xml:space="preserve">  Tomate Industrial</t>
  </si>
  <si>
    <t xml:space="preserve">  Ñame</t>
  </si>
  <si>
    <t xml:space="preserve">  Ajo</t>
  </si>
  <si>
    <t xml:space="preserve">  Batata</t>
  </si>
  <si>
    <t xml:space="preserve">  Otros</t>
  </si>
  <si>
    <t>B. PECUARIO</t>
  </si>
  <si>
    <t>TOTAL GENERAL</t>
  </si>
  <si>
    <t xml:space="preserve">  Guineo</t>
  </si>
  <si>
    <t xml:space="preserve">        Ganado de Leche</t>
  </si>
  <si>
    <t xml:space="preserve">        Ganado de Carne</t>
  </si>
  <si>
    <t xml:space="preserve">        Ganado doble prop.</t>
  </si>
  <si>
    <t>* Incluye ganado de Carne, leche y doble propósito</t>
  </si>
  <si>
    <r>
      <t>FUENTE:</t>
    </r>
    <r>
      <rPr>
        <sz val="9"/>
        <rFont val="Arial Narrow"/>
        <family val="2"/>
      </rPr>
      <t xml:space="preserve">  Banco Agrícola de la República Dominicana.</t>
    </r>
  </si>
  <si>
    <t xml:space="preserve">C. OTROS FINES </t>
  </si>
  <si>
    <t xml:space="preserve">  b2. AVICOLA</t>
  </si>
  <si>
    <t xml:space="preserve">  b3. APICOLA</t>
  </si>
  <si>
    <t xml:space="preserve"> Aguacate</t>
  </si>
  <si>
    <t xml:space="preserve"> Ají</t>
  </si>
  <si>
    <t xml:space="preserve"> Piña</t>
  </si>
  <si>
    <t>Ganado Porcino</t>
  </si>
  <si>
    <t>Otros</t>
  </si>
  <si>
    <t xml:space="preserve"> </t>
  </si>
  <si>
    <t>Invernadero</t>
  </si>
  <si>
    <r>
      <t xml:space="preserve">b1. </t>
    </r>
    <r>
      <rPr>
        <sz val="8"/>
        <color indexed="8"/>
        <rFont val="Arial Narrow"/>
        <family val="2"/>
      </rPr>
      <t>Ganado Bovino*</t>
    </r>
  </si>
  <si>
    <t xml:space="preserve"> (En RD$)</t>
  </si>
  <si>
    <t xml:space="preserve"> Tomate de Mesa</t>
  </si>
  <si>
    <t xml:space="preserve">                Elaborado: Ministerio de Agricultura de la República Dominicana.  Departamento de Economía Agropecuaria.</t>
  </si>
  <si>
    <t>-</t>
  </si>
  <si>
    <t>Cuadro 11.1.2</t>
  </si>
  <si>
    <t>Créditos Agropecuarios Desembolsados por el Banco Agrícola por Subsectores y Productos, 2003 - 2018</t>
  </si>
  <si>
    <t>Variaciones del Créditos Agropecuarios Desembolsados por el Banco Agrícola por Subsectores y Productos, 2012 - 2018</t>
  </si>
  <si>
    <t>2013/2012</t>
  </si>
  <si>
    <t>2014/2013</t>
  </si>
  <si>
    <t>2015/2014</t>
  </si>
  <si>
    <t>2016/2015</t>
  </si>
  <si>
    <t>2017/2016</t>
  </si>
  <si>
    <t>2018/2017</t>
  </si>
  <si>
    <t>Promedio</t>
  </si>
  <si>
    <t>Cuadro 11.1.2  (En RD$)</t>
  </si>
  <si>
    <t>Sub-Sectores</t>
  </si>
  <si>
    <t>Viceministerio de Planificación Agropecuario y Agropecuario</t>
  </si>
  <si>
    <t>Departamento de Economía Agropecuaria y Estadísticas</t>
  </si>
  <si>
    <t xml:space="preserve"> Ganado Bovino</t>
  </si>
  <si>
    <t xml:space="preserve">   AVICOLA</t>
  </si>
  <si>
    <t xml:space="preserve">   APICOLA</t>
  </si>
  <si>
    <t xml:space="preserve"> OTROS FINES </t>
  </si>
  <si>
    <t>Elaborado en el 2023</t>
  </si>
  <si>
    <r>
      <t>FUENTE:</t>
    </r>
    <r>
      <rPr>
        <sz val="9"/>
        <rFont val="Calibri"/>
        <family val="2"/>
        <scheme val="minor"/>
      </rPr>
      <t xml:space="preserve">  Banco Agrícola de la República Dominicana.</t>
    </r>
  </si>
  <si>
    <t>Tomate</t>
  </si>
  <si>
    <t xml:space="preserve">   ACUICOLA</t>
  </si>
  <si>
    <t>Limón</t>
  </si>
  <si>
    <t>Créditos Agropecuarios Desembolsados por el Banco Agrícola por Subsectores y Productos, 2023 - 2025</t>
  </si>
  <si>
    <t>Elaborado: Ministerio de Agricultura de la República Dominicana.  Departamento de Economía Agropecuaria y Estadísticas.</t>
  </si>
  <si>
    <t>Elaborado en el 2026.</t>
  </si>
  <si>
    <t>Créditos Agropecuarios Desembolsados por el Banco Agrícola por Subsectores y Productos, 2003 - 2025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</si>
</sst>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* #,##0.0_);_(* \(#,##0.0\);_(* &quot;-&quot;??_);_(@_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7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b/>
      <sz val="7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7"/>
      <color theme="1"/>
      <name val="Arial Narrow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/>
    <xf numFmtId="0" fontId="8" fillId="2" borderId="0" xfId="0" applyFont="1" applyFill="1"/>
    <xf numFmtId="0" fontId="5" fillId="3" borderId="0" xfId="0" applyFont="1" applyFill="1"/>
    <xf numFmtId="0" fontId="4" fillId="4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6" fillId="5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164" fontId="4" fillId="0" borderId="0" xfId="0" applyNumberFormat="1" applyFont="1"/>
    <xf numFmtId="164" fontId="11" fillId="4" borderId="0" xfId="1" applyNumberFormat="1" applyFont="1" applyFill="1" applyAlignment="1">
      <alignment horizontal="right"/>
    </xf>
    <xf numFmtId="164" fontId="11" fillId="2" borderId="0" xfId="1" applyNumberFormat="1" applyFont="1" applyFill="1" applyBorder="1" applyAlignment="1">
      <alignment horizontal="right"/>
    </xf>
    <xf numFmtId="164" fontId="11" fillId="0" borderId="0" xfId="1" applyNumberFormat="1" applyFont="1" applyAlignment="1">
      <alignment horizontal="right"/>
    </xf>
    <xf numFmtId="164" fontId="18" fillId="4" borderId="0" xfId="1" applyNumberFormat="1" applyFont="1" applyFill="1" applyAlignment="1">
      <alignment horizontal="right"/>
    </xf>
    <xf numFmtId="164" fontId="11" fillId="4" borderId="0" xfId="1" applyNumberFormat="1" applyFont="1" applyFill="1" applyBorder="1" applyAlignment="1">
      <alignment horizontal="right"/>
    </xf>
    <xf numFmtId="164" fontId="6" fillId="3" borderId="0" xfId="1" applyNumberFormat="1" applyFont="1" applyFill="1" applyBorder="1" applyAlignment="1" applyProtection="1">
      <alignment horizontal="right" vertical="center"/>
    </xf>
    <xf numFmtId="164" fontId="17" fillId="5" borderId="0" xfId="1" applyNumberFormat="1" applyFont="1" applyFill="1" applyBorder="1" applyAlignment="1">
      <alignment horizontal="right"/>
    </xf>
    <xf numFmtId="0" fontId="4" fillId="4" borderId="0" xfId="0" applyFont="1" applyFill="1" applyAlignment="1">
      <alignment vertical="center"/>
    </xf>
    <xf numFmtId="164" fontId="11" fillId="4" borderId="0" xfId="0" applyNumberFormat="1" applyFont="1" applyFill="1"/>
    <xf numFmtId="164" fontId="11" fillId="4" borderId="0" xfId="1" applyNumberFormat="1" applyFont="1" applyFill="1"/>
    <xf numFmtId="0" fontId="7" fillId="4" borderId="0" xfId="0" applyFont="1" applyFill="1" applyAlignment="1">
      <alignment horizontal="left"/>
    </xf>
    <xf numFmtId="0" fontId="6" fillId="4" borderId="0" xfId="0" applyFont="1" applyFill="1"/>
    <xf numFmtId="164" fontId="14" fillId="2" borderId="0" xfId="1" applyNumberFormat="1" applyFont="1" applyFill="1" applyBorder="1" applyAlignment="1">
      <alignment horizontal="right"/>
    </xf>
    <xf numFmtId="164" fontId="14" fillId="4" borderId="0" xfId="1" applyNumberFormat="1" applyFont="1" applyFill="1" applyAlignment="1">
      <alignment horizontal="right"/>
    </xf>
    <xf numFmtId="0" fontId="11" fillId="4" borderId="0" xfId="0" applyFont="1" applyFill="1"/>
    <xf numFmtId="43" fontId="11" fillId="4" borderId="0" xfId="1" applyFont="1" applyFill="1"/>
    <xf numFmtId="43" fontId="11" fillId="4" borderId="0" xfId="0" applyNumberFormat="1" applyFont="1" applyFill="1"/>
    <xf numFmtId="43" fontId="9" fillId="4" borderId="0" xfId="1" applyFont="1" applyFill="1"/>
    <xf numFmtId="0" fontId="9" fillId="4" borderId="0" xfId="0" applyFont="1" applyFill="1"/>
    <xf numFmtId="43" fontId="6" fillId="3" borderId="0" xfId="1" applyFont="1" applyFill="1" applyBorder="1" applyAlignment="1" applyProtection="1">
      <alignment horizontal="right" vertical="center"/>
    </xf>
    <xf numFmtId="0" fontId="7" fillId="4" borderId="0" xfId="0" applyFont="1" applyFill="1"/>
    <xf numFmtId="0" fontId="5" fillId="4" borderId="0" xfId="0" applyFont="1" applyFill="1"/>
    <xf numFmtId="43" fontId="17" fillId="5" borderId="0" xfId="1" applyFont="1" applyFill="1" applyBorder="1" applyAlignment="1">
      <alignment horizontal="right"/>
    </xf>
    <xf numFmtId="43" fontId="11" fillId="6" borderId="0" xfId="0" applyNumberFormat="1" applyFont="1" applyFill="1"/>
    <xf numFmtId="0" fontId="7" fillId="6" borderId="0" xfId="0" applyFont="1" applyFill="1" applyAlignment="1">
      <alignment horizontal="left"/>
    </xf>
    <xf numFmtId="0" fontId="7" fillId="6" borderId="0" xfId="0" applyFont="1" applyFill="1"/>
    <xf numFmtId="0" fontId="6" fillId="6" borderId="0" xfId="0" applyFont="1" applyFill="1"/>
    <xf numFmtId="10" fontId="4" fillId="4" borderId="0" xfId="3" applyNumberFormat="1" applyFont="1" applyFill="1"/>
    <xf numFmtId="43" fontId="11" fillId="6" borderId="0" xfId="1" applyFont="1" applyFill="1"/>
    <xf numFmtId="9" fontId="11" fillId="4" borderId="0" xfId="3" applyFont="1" applyFill="1"/>
    <xf numFmtId="165" fontId="11" fillId="4" borderId="0" xfId="3" applyNumberFormat="1" applyFont="1" applyFill="1"/>
    <xf numFmtId="0" fontId="20" fillId="4" borderId="0" xfId="0" applyFont="1" applyFill="1"/>
    <xf numFmtId="164" fontId="20" fillId="4" borderId="0" xfId="0" applyNumberFormat="1" applyFont="1" applyFill="1"/>
    <xf numFmtId="0" fontId="21" fillId="4" borderId="0" xfId="0" applyFont="1" applyFill="1"/>
    <xf numFmtId="0" fontId="21" fillId="0" borderId="0" xfId="0" applyFont="1"/>
    <xf numFmtId="9" fontId="22" fillId="0" borderId="0" xfId="3" applyFont="1"/>
    <xf numFmtId="9" fontId="21" fillId="0" borderId="0" xfId="3" applyFont="1"/>
    <xf numFmtId="9" fontId="19" fillId="4" borderId="0" xfId="3" applyFont="1" applyFill="1"/>
    <xf numFmtId="0" fontId="24" fillId="4" borderId="0" xfId="0" applyFont="1" applyFill="1"/>
    <xf numFmtId="9" fontId="22" fillId="4" borderId="0" xfId="3" applyFont="1" applyFill="1"/>
    <xf numFmtId="9" fontId="21" fillId="4" borderId="0" xfId="3" applyFont="1" applyFill="1"/>
    <xf numFmtId="164" fontId="25" fillId="8" borderId="0" xfId="1" applyNumberFormat="1" applyFont="1" applyFill="1" applyBorder="1" applyAlignment="1" applyProtection="1">
      <alignment horizontal="right"/>
    </xf>
    <xf numFmtId="164" fontId="25" fillId="8" borderId="0" xfId="1" applyNumberFormat="1" applyFont="1" applyFill="1" applyBorder="1" applyAlignment="1" applyProtection="1">
      <alignment horizontal="right" vertical="center"/>
    </xf>
    <xf numFmtId="164" fontId="27" fillId="2" borderId="0" xfId="1" applyNumberFormat="1" applyFont="1" applyFill="1" applyBorder="1" applyAlignment="1" applyProtection="1">
      <alignment horizontal="right"/>
    </xf>
    <xf numFmtId="164" fontId="28" fillId="2" borderId="0" xfId="1" applyNumberFormat="1" applyFont="1" applyFill="1" applyBorder="1" applyAlignment="1">
      <alignment horizontal="right"/>
    </xf>
    <xf numFmtId="164" fontId="27" fillId="2" borderId="0" xfId="1" applyNumberFormat="1" applyFont="1" applyFill="1" applyBorder="1" applyAlignment="1" applyProtection="1">
      <alignment horizontal="right" vertical="center"/>
    </xf>
    <xf numFmtId="164" fontId="28" fillId="4" borderId="0" xfId="1" applyNumberFormat="1" applyFont="1" applyFill="1" applyAlignment="1">
      <alignment horizontal="right"/>
    </xf>
    <xf numFmtId="164" fontId="28" fillId="4" borderId="0" xfId="1" applyNumberFormat="1" applyFont="1" applyFill="1"/>
    <xf numFmtId="164" fontId="28" fillId="4" borderId="0" xfId="0" applyNumberFormat="1" applyFont="1" applyFill="1"/>
    <xf numFmtId="164" fontId="29" fillId="4" borderId="0" xfId="1" applyNumberFormat="1" applyFont="1" applyFill="1" applyAlignment="1">
      <alignment horizontal="right"/>
    </xf>
    <xf numFmtId="164" fontId="28" fillId="4" borderId="0" xfId="1" applyNumberFormat="1" applyFont="1" applyFill="1" applyBorder="1" applyAlignment="1">
      <alignment horizontal="right"/>
    </xf>
    <xf numFmtId="164" fontId="27" fillId="4" borderId="0" xfId="1" applyNumberFormat="1" applyFont="1" applyFill="1" applyBorder="1" applyAlignment="1" applyProtection="1">
      <alignment horizontal="right" vertical="center"/>
    </xf>
    <xf numFmtId="164" fontId="31" fillId="2" borderId="0" xfId="1" applyNumberFormat="1" applyFont="1" applyFill="1" applyBorder="1" applyAlignment="1" applyProtection="1">
      <alignment horizontal="right"/>
    </xf>
    <xf numFmtId="164" fontId="32" fillId="2" borderId="0" xfId="1" applyNumberFormat="1" applyFont="1" applyFill="1" applyBorder="1" applyAlignment="1">
      <alignment horizontal="right"/>
    </xf>
    <xf numFmtId="164" fontId="32" fillId="4" borderId="0" xfId="1" applyNumberFormat="1" applyFont="1" applyFill="1" applyAlignment="1">
      <alignment horizontal="right"/>
    </xf>
    <xf numFmtId="0" fontId="25" fillId="7" borderId="0" xfId="0" applyFont="1" applyFill="1" applyAlignment="1">
      <alignment horizontal="center"/>
    </xf>
    <xf numFmtId="0" fontId="26" fillId="7" borderId="0" xfId="0" applyFont="1" applyFill="1" applyAlignment="1">
      <alignment horizontal="center"/>
    </xf>
    <xf numFmtId="0" fontId="25" fillId="8" borderId="0" xfId="0" applyFont="1" applyFill="1"/>
    <xf numFmtId="0" fontId="27" fillId="2" borderId="0" xfId="0" applyFont="1" applyFill="1" applyAlignment="1">
      <alignment horizontal="left"/>
    </xf>
    <xf numFmtId="0" fontId="27" fillId="4" borderId="0" xfId="0" applyFont="1" applyFill="1" applyAlignment="1">
      <alignment horizontal="left"/>
    </xf>
    <xf numFmtId="0" fontId="31" fillId="4" borderId="0" xfId="0" applyFont="1" applyFill="1"/>
    <xf numFmtId="0" fontId="27" fillId="2" borderId="0" xfId="0" applyFont="1" applyFill="1"/>
    <xf numFmtId="0" fontId="31" fillId="2" borderId="0" xfId="0" applyFont="1" applyFill="1"/>
    <xf numFmtId="164" fontId="21" fillId="0" borderId="0" xfId="0" applyNumberFormat="1" applyFont="1"/>
    <xf numFmtId="164" fontId="32" fillId="4" borderId="0" xfId="1" applyNumberFormat="1" applyFont="1" applyFill="1" applyBorder="1" applyAlignment="1">
      <alignment horizontal="right"/>
    </xf>
    <xf numFmtId="0" fontId="26" fillId="9" borderId="0" xfId="0" applyFont="1" applyFill="1"/>
    <xf numFmtId="164" fontId="26" fillId="9" borderId="0" xfId="1" applyNumberFormat="1" applyFont="1" applyFill="1" applyBorder="1" applyAlignment="1">
      <alignment horizontal="right"/>
    </xf>
    <xf numFmtId="164" fontId="26" fillId="9" borderId="0" xfId="1" applyNumberFormat="1" applyFont="1" applyFill="1" applyBorder="1" applyAlignment="1" applyProtection="1">
      <alignment horizontal="right" vertical="center"/>
    </xf>
    <xf numFmtId="0" fontId="26" fillId="8" borderId="0" xfId="0" applyFont="1" applyFill="1"/>
    <xf numFmtId="164" fontId="26" fillId="8" borderId="0" xfId="1" applyNumberFormat="1" applyFont="1" applyFill="1" applyBorder="1" applyAlignment="1">
      <alignment horizontal="right"/>
    </xf>
    <xf numFmtId="164" fontId="26" fillId="8" borderId="0" xfId="1" applyNumberFormat="1" applyFont="1" applyFill="1" applyBorder="1" applyAlignment="1" applyProtection="1">
      <alignment horizontal="right" vertical="center"/>
    </xf>
    <xf numFmtId="164" fontId="21" fillId="0" borderId="0" xfId="1" applyNumberFormat="1" applyFont="1"/>
    <xf numFmtId="164" fontId="28" fillId="2" borderId="0" xfId="0" applyNumberFormat="1" applyFont="1" applyFill="1" applyAlignment="1">
      <alignment vertical="center"/>
    </xf>
    <xf numFmtId="37" fontId="30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164" fontId="28" fillId="4" borderId="0" xfId="0" applyNumberFormat="1" applyFont="1" applyFill="1" applyAlignment="1">
      <alignment vertical="center"/>
    </xf>
    <xf numFmtId="0" fontId="28" fillId="0" borderId="0" xfId="0" applyFont="1" applyAlignment="1">
      <alignment vertical="center"/>
    </xf>
    <xf numFmtId="164" fontId="28" fillId="2" borderId="0" xfId="0" applyNumberFormat="1" applyFont="1" applyFill="1"/>
    <xf numFmtId="0" fontId="28" fillId="4" borderId="0" xfId="0" applyFont="1" applyFill="1"/>
    <xf numFmtId="0" fontId="28" fillId="0" borderId="0" xfId="0" applyFont="1"/>
    <xf numFmtId="43" fontId="21" fillId="4" borderId="0" xfId="0" applyNumberFormat="1" applyFont="1" applyFill="1"/>
    <xf numFmtId="9" fontId="21" fillId="0" borderId="0" xfId="3" applyFont="1" applyFill="1"/>
    <xf numFmtId="167" fontId="28" fillId="0" borderId="0" xfId="0" applyNumberFormat="1" applyFont="1"/>
    <xf numFmtId="0" fontId="33" fillId="4" borderId="0" xfId="0" applyFont="1" applyFill="1" applyAlignment="1">
      <alignment vertical="center"/>
    </xf>
    <xf numFmtId="0" fontId="22" fillId="4" borderId="0" xfId="0" applyFont="1" applyFill="1"/>
    <xf numFmtId="0" fontId="23" fillId="4" borderId="0" xfId="0" applyFont="1" applyFill="1"/>
    <xf numFmtId="0" fontId="28" fillId="4" borderId="0" xfId="0" applyFont="1" applyFill="1" applyAlignment="1">
      <alignment horizontal="left"/>
    </xf>
    <xf numFmtId="164" fontId="28" fillId="4" borderId="0" xfId="1" applyNumberFormat="1" applyFont="1" applyFill="1" applyBorder="1" applyAlignment="1" applyProtection="1">
      <alignment horizontal="right"/>
    </xf>
    <xf numFmtId="164" fontId="28" fillId="4" borderId="0" xfId="1" applyNumberFormat="1" applyFont="1" applyFill="1" applyBorder="1" applyAlignment="1" applyProtection="1">
      <alignment horizontal="right" vertical="center"/>
    </xf>
    <xf numFmtId="164" fontId="30" fillId="4" borderId="0" xfId="1" applyNumberFormat="1" applyFont="1" applyFill="1" applyBorder="1" applyAlignment="1">
      <alignment horizontal="right"/>
    </xf>
    <xf numFmtId="0" fontId="34" fillId="4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3" fontId="34" fillId="4" borderId="0" xfId="0" applyNumberFormat="1" applyFont="1" applyFill="1" applyAlignment="1">
      <alignment horizontal="right" vertical="center" wrapText="1"/>
    </xf>
    <xf numFmtId="0" fontId="35" fillId="4" borderId="0" xfId="0" applyFont="1" applyFill="1"/>
    <xf numFmtId="0" fontId="34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164" fontId="36" fillId="2" borderId="0" xfId="0" applyNumberFormat="1" applyFont="1" applyFill="1" applyAlignment="1">
      <alignment vertical="center"/>
    </xf>
    <xf numFmtId="164" fontId="35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5" fillId="2" borderId="0" xfId="0" applyFont="1" applyFill="1"/>
    <xf numFmtId="164" fontId="35" fillId="2" borderId="0" xfId="0" applyNumberFormat="1" applyFont="1" applyFill="1"/>
    <xf numFmtId="0" fontId="37" fillId="2" borderId="0" xfId="0" applyFont="1" applyFill="1"/>
    <xf numFmtId="164" fontId="26" fillId="4" borderId="0" xfId="1" applyNumberFormat="1" applyFont="1" applyFill="1" applyBorder="1" applyAlignment="1">
      <alignment horizontal="right"/>
    </xf>
    <xf numFmtId="0" fontId="27" fillId="4" borderId="0" xfId="0" applyFont="1" applyFill="1"/>
    <xf numFmtId="9" fontId="28" fillId="4" borderId="0" xfId="3" applyFont="1" applyFill="1" applyAlignment="1">
      <alignment horizontal="right"/>
    </xf>
    <xf numFmtId="164" fontId="21" fillId="4" borderId="0" xfId="0" applyNumberFormat="1" applyFont="1" applyFill="1"/>
    <xf numFmtId="0" fontId="35" fillId="4" borderId="0" xfId="0" applyFont="1" applyFill="1" applyAlignment="1">
      <alignment wrapText="1"/>
    </xf>
    <xf numFmtId="0" fontId="4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5" fillId="4" borderId="0" xfId="0" applyFont="1" applyFill="1" applyAlignment="1">
      <alignment horizontal="left" wrapText="1"/>
    </xf>
    <xf numFmtId="0" fontId="23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Millares 5" xfId="5" xr:uid="{00000000-0005-0000-0000-000002000000}"/>
    <cellStyle name="Normal" xfId="0" builtinId="0"/>
    <cellStyle name="Normal 2" xfId="4" xr:uid="{00000000-0005-0000-0000-000004000000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Crecimiento del Créditos del</a:t>
            </a:r>
            <a:r>
              <a:rPr lang="en-US" sz="1200" b="1" baseline="0">
                <a:solidFill>
                  <a:sysClr val="windowText" lastClr="000000"/>
                </a:solidFill>
              </a:rPr>
              <a:t> Banco Agrícola al Sector </a:t>
            </a:r>
            <a:r>
              <a:rPr lang="en-US" sz="1200" b="1">
                <a:solidFill>
                  <a:sysClr val="windowText" lastClr="000000"/>
                </a:solidFill>
              </a:rPr>
              <a:t>Agropecuario,</a:t>
            </a:r>
            <a:r>
              <a:rPr lang="en-US" sz="1200" b="1" baseline="0">
                <a:solidFill>
                  <a:sysClr val="windowText" lastClr="000000"/>
                </a:solidFill>
              </a:rPr>
              <a:t> 2012-2018</a:t>
            </a:r>
            <a:r>
              <a:rPr lang="en-US" sz="1200" b="1">
                <a:solidFill>
                  <a:sysClr val="windowText" lastClr="000000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20996953847922292"/>
          <c:y val="2.252252252252252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'11.1.2 (2)'!$K$44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0800" dist="50800" dir="5400000" algn="ctr" rotWithShape="0">
                <a:schemeClr val="accent6">
                  <a:lumMod val="60000"/>
                  <a:lumOff val="40000"/>
                </a:scheme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50800" dist="50800" dir="5400000" algn="ctr" rotWithShape="0">
                  <a:schemeClr val="accent6">
                    <a:lumMod val="60000"/>
                    <a:lumOff val="40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6233-4E67-9EAA-7C29BF379457}"/>
              </c:ext>
            </c:extLst>
          </c:dPt>
          <c:dLbls>
            <c:dLbl>
              <c:idx val="2"/>
              <c:layout>
                <c:manualLayout>
                  <c:x val="-1.9464720194647202E-2"/>
                  <c:y val="9.45945945945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33-4E67-9EAA-7C29BF379457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'11.1.2 (2)'!$C$6:$H$6</c:f>
              <c:numCache>
                <c:formatCode>General</c:formatCode>
                <c:ptCount val="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'11.1.2 (2)'!$L$44:$Q$44</c:f>
              <c:numCache>
                <c:formatCode>_(* #,##0.00_);_(* \(#,##0.00\);_(* "-"??_);_(@_)</c:formatCode>
                <c:ptCount val="6"/>
                <c:pt idx="0">
                  <c:v>124.85329204495979</c:v>
                </c:pt>
                <c:pt idx="1">
                  <c:v>8.7407020632988885</c:v>
                </c:pt>
                <c:pt idx="2">
                  <c:v>-2.590900149901032</c:v>
                </c:pt>
                <c:pt idx="3">
                  <c:v>14.176999369595933</c:v>
                </c:pt>
                <c:pt idx="4">
                  <c:v>18.617609219222953</c:v>
                </c:pt>
                <c:pt idx="5">
                  <c:v>8.1539097642161487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3-4E67-9EAA-7C29BF37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0168208"/>
        <c:axId val="1"/>
      </c:barChart>
      <c:catAx>
        <c:axId val="204016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0168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0</xdr:col>
      <xdr:colOff>504825</xdr:colOff>
      <xdr:row>3</xdr:row>
      <xdr:rowOff>152400</xdr:rowOff>
    </xdr:to>
    <xdr:pic>
      <xdr:nvPicPr>
        <xdr:cNvPr id="7203" name="Picture 2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504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419100</xdr:colOff>
      <xdr:row>48</xdr:row>
      <xdr:rowOff>114300</xdr:rowOff>
    </xdr:from>
    <xdr:to>
      <xdr:col>15</xdr:col>
      <xdr:colOff>609600</xdr:colOff>
      <xdr:row>65</xdr:row>
      <xdr:rowOff>19050</xdr:rowOff>
    </xdr:to>
    <xdr:graphicFrame macro="">
      <xdr:nvGraphicFramePr>
        <xdr:cNvPr id="7204" name="Gráfico 5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0</xdr:rowOff>
    </xdr:from>
    <xdr:to>
      <xdr:col>5</xdr:col>
      <xdr:colOff>866774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339CC2-513E-42F2-9FAD-DC026D0FAF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137159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225138</xdr:colOff>
      <xdr:row>51</xdr:row>
      <xdr:rowOff>173182</xdr:rowOff>
    </xdr:from>
    <xdr:to>
      <xdr:col>6</xdr:col>
      <xdr:colOff>17320</xdr:colOff>
      <xdr:row>55</xdr:row>
      <xdr:rowOff>51956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ABD385-1276-4365-A180-EE2ABDF59E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4763" y="9983932"/>
          <a:ext cx="1697182" cy="678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1466850</xdr:colOff>
      <xdr:row>104</xdr:row>
      <xdr:rowOff>1731</xdr:rowOff>
    </xdr:from>
    <xdr:to>
      <xdr:col>1</xdr:col>
      <xdr:colOff>854651</xdr:colOff>
      <xdr:row>107</xdr:row>
      <xdr:rowOff>80529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C129D20-A1DA-488E-96D9-8A9A8D9980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20232831"/>
          <a:ext cx="1121351" cy="678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zoomScaleNormal="100" workbookViewId="0">
      <selection activeCell="A6" sqref="A6"/>
    </sheetView>
  </sheetViews>
  <sheetFormatPr baseColWidth="10" defaultColWidth="12.5703125" defaultRowHeight="13.5" x14ac:dyDescent="0.25"/>
  <cols>
    <col min="1" max="1" width="18" style="1" customWidth="1"/>
    <col min="2" max="3" width="12.85546875" style="1" customWidth="1"/>
    <col min="4" max="4" width="12.28515625" style="1" customWidth="1"/>
    <col min="5" max="5" width="13" style="1" customWidth="1"/>
    <col min="6" max="6" width="12.85546875" style="1" bestFit="1" customWidth="1"/>
    <col min="7" max="7" width="12.42578125" style="1" customWidth="1"/>
    <col min="8" max="8" width="12.5703125" style="1"/>
    <col min="9" max="10" width="12.5703125" style="13"/>
    <col min="11" max="18" width="12.5703125" style="1"/>
    <col min="19" max="19" width="12.5703125" style="13"/>
    <col min="20" max="16384" width="12.5703125" style="1"/>
  </cols>
  <sheetData>
    <row r="1" spans="1:19" ht="13.5" customHeight="1" x14ac:dyDescent="0.25">
      <c r="A1" s="5"/>
      <c r="B1" s="13"/>
      <c r="C1" s="13"/>
      <c r="D1" s="13"/>
      <c r="E1" s="13"/>
      <c r="F1" s="13"/>
      <c r="G1" s="13"/>
      <c r="H1" s="13"/>
    </row>
    <row r="2" spans="1:19" ht="13.5" customHeight="1" x14ac:dyDescent="0.25">
      <c r="A2" s="130" t="s">
        <v>44</v>
      </c>
      <c r="B2" s="130"/>
      <c r="C2" s="130"/>
      <c r="D2" s="130"/>
      <c r="E2" s="130"/>
      <c r="F2" s="130"/>
      <c r="G2" s="130"/>
      <c r="H2" s="130"/>
      <c r="K2" s="130" t="s">
        <v>44</v>
      </c>
      <c r="L2" s="130"/>
      <c r="M2" s="130"/>
      <c r="N2" s="130"/>
      <c r="O2" s="130"/>
      <c r="P2" s="130"/>
      <c r="Q2" s="130"/>
      <c r="R2" s="130"/>
    </row>
    <row r="3" spans="1:19" ht="13.5" customHeight="1" x14ac:dyDescent="0.25">
      <c r="A3" s="131" t="s">
        <v>45</v>
      </c>
      <c r="B3" s="131"/>
      <c r="C3" s="131"/>
      <c r="D3" s="131"/>
      <c r="E3" s="131"/>
      <c r="F3" s="131"/>
      <c r="G3" s="131"/>
      <c r="H3" s="131"/>
      <c r="K3" s="131" t="s">
        <v>46</v>
      </c>
      <c r="L3" s="131"/>
      <c r="M3" s="131"/>
      <c r="N3" s="131"/>
      <c r="O3" s="131"/>
      <c r="P3" s="131"/>
      <c r="Q3" s="131"/>
      <c r="R3" s="131"/>
    </row>
    <row r="4" spans="1:19" ht="12.75" customHeight="1" x14ac:dyDescent="0.25">
      <c r="A4" s="132" t="s">
        <v>40</v>
      </c>
      <c r="B4" s="132"/>
      <c r="C4" s="132"/>
      <c r="D4" s="132"/>
      <c r="E4" s="132"/>
      <c r="F4" s="132"/>
      <c r="G4" s="132"/>
      <c r="H4" s="132"/>
      <c r="K4" s="132" t="s">
        <v>40</v>
      </c>
      <c r="L4" s="132"/>
      <c r="M4" s="132"/>
      <c r="N4" s="132"/>
      <c r="O4" s="132"/>
      <c r="P4" s="132"/>
      <c r="Q4" s="132"/>
      <c r="R4" s="132"/>
    </row>
    <row r="5" spans="1:19" ht="4.5" customHeight="1" x14ac:dyDescent="0.25">
      <c r="A5" s="132" t="s">
        <v>37</v>
      </c>
      <c r="B5" s="132"/>
      <c r="C5" s="13"/>
      <c r="D5" s="13"/>
      <c r="E5" s="13"/>
      <c r="F5" s="13"/>
      <c r="G5" s="13"/>
      <c r="H5" s="13"/>
      <c r="K5" s="129"/>
      <c r="L5" s="129"/>
      <c r="M5" s="129"/>
      <c r="N5" s="129"/>
      <c r="O5" s="129"/>
      <c r="P5" s="129"/>
      <c r="Q5" s="129"/>
      <c r="R5" s="129"/>
    </row>
    <row r="6" spans="1:19" ht="17.25" customHeight="1" x14ac:dyDescent="0.25">
      <c r="A6" s="14" t="s">
        <v>0</v>
      </c>
      <c r="B6" s="15">
        <v>2012</v>
      </c>
      <c r="C6" s="15">
        <v>2013</v>
      </c>
      <c r="D6" s="15">
        <v>2014</v>
      </c>
      <c r="E6" s="15">
        <v>2015</v>
      </c>
      <c r="F6" s="15">
        <v>2016</v>
      </c>
      <c r="G6" s="15">
        <v>2017</v>
      </c>
      <c r="H6" s="15">
        <v>2018</v>
      </c>
      <c r="K6" s="14" t="s">
        <v>0</v>
      </c>
      <c r="L6" s="15" t="s">
        <v>47</v>
      </c>
      <c r="M6" s="15" t="s">
        <v>48</v>
      </c>
      <c r="N6" s="15" t="s">
        <v>49</v>
      </c>
      <c r="O6" s="15" t="s">
        <v>50</v>
      </c>
      <c r="P6" s="15" t="s">
        <v>51</v>
      </c>
      <c r="Q6" s="15" t="s">
        <v>52</v>
      </c>
      <c r="R6" s="15" t="s">
        <v>53</v>
      </c>
    </row>
    <row r="7" spans="1:19" ht="4.5" customHeight="1" x14ac:dyDescent="0.25">
      <c r="A7" s="14"/>
      <c r="B7" s="16"/>
      <c r="C7" s="16"/>
      <c r="D7" s="16"/>
      <c r="E7" s="16"/>
      <c r="F7" s="16"/>
      <c r="G7" s="16"/>
      <c r="H7" s="16"/>
      <c r="K7" s="14"/>
      <c r="L7" s="16"/>
      <c r="M7" s="16"/>
      <c r="N7" s="16"/>
      <c r="O7" s="16"/>
      <c r="P7" s="16"/>
      <c r="Q7" s="16"/>
      <c r="R7" s="16"/>
    </row>
    <row r="8" spans="1:19" ht="14.25" customHeight="1" x14ac:dyDescent="0.25">
      <c r="A8" s="12" t="s">
        <v>1</v>
      </c>
      <c r="B8" s="26">
        <f>SUM(B9:B33)</f>
        <v>3991678709</v>
      </c>
      <c r="C8" s="26">
        <f>SUM(C9:C33)</f>
        <v>9334751074</v>
      </c>
      <c r="D8" s="26">
        <f>SUM(D9:D33)</f>
        <v>9660812394</v>
      </c>
      <c r="E8" s="26">
        <f>+SUM(E9:E33)</f>
        <v>9655366419.3999996</v>
      </c>
      <c r="F8" s="26">
        <f>+SUM(F9:F33)</f>
        <v>10654771736</v>
      </c>
      <c r="G8" s="26">
        <f>+SUM(G9:G33)</f>
        <v>11655427583</v>
      </c>
      <c r="H8" s="26">
        <f>+SUM(H9:H33)</f>
        <v>12314151004</v>
      </c>
      <c r="K8" s="12" t="s">
        <v>1</v>
      </c>
      <c r="L8" s="40">
        <f t="shared" ref="L8:L18" si="0">+((C8/B8)-1)*100</f>
        <v>133.85527129107425</v>
      </c>
      <c r="M8" s="40">
        <f t="shared" ref="M8:M18" si="1">+((D8/C8)-1)*100</f>
        <v>3.4929835559105227</v>
      </c>
      <c r="N8" s="40">
        <f t="shared" ref="N8:N18" si="2">+((E8/D8)-1)*100</f>
        <v>-5.6371807855237765E-2</v>
      </c>
      <c r="O8" s="40">
        <f t="shared" ref="O8:O18" si="3">+((F8/E8)-1)*100</f>
        <v>10.350775653546918</v>
      </c>
      <c r="P8" s="40">
        <f t="shared" ref="P8:P18" si="4">+((G8/F8)-1)*100</f>
        <v>9.3916216301379372</v>
      </c>
      <c r="Q8" s="40">
        <f t="shared" ref="Q8:Q18" si="5">+((H8/G8)-1)*100</f>
        <v>5.6516452640551718</v>
      </c>
      <c r="R8" s="40">
        <f>AVERAGE(L8:Q8)</f>
        <v>27.11432093114492</v>
      </c>
    </row>
    <row r="9" spans="1:19" s="4" customFormat="1" ht="10.5" customHeight="1" x14ac:dyDescent="0.25">
      <c r="A9" s="18" t="s">
        <v>2</v>
      </c>
      <c r="B9" s="21">
        <f>2027074021+213515327</f>
        <v>2240589348</v>
      </c>
      <c r="C9" s="21">
        <f>3126048092+1076355719</f>
        <v>4202403811</v>
      </c>
      <c r="D9" s="21">
        <f>3150517578+1351669450</f>
        <v>4502187028</v>
      </c>
      <c r="E9" s="21">
        <v>3676886086</v>
      </c>
      <c r="F9" s="21">
        <v>4313336197</v>
      </c>
      <c r="G9" s="30">
        <f>2944311965+1399434932</f>
        <v>4343746897</v>
      </c>
      <c r="H9" s="29">
        <v>4751537017</v>
      </c>
      <c r="I9" s="35"/>
      <c r="J9" s="36"/>
      <c r="K9" s="31" t="s">
        <v>2</v>
      </c>
      <c r="L9" s="36">
        <f t="shared" si="0"/>
        <v>87.557966155251037</v>
      </c>
      <c r="M9" s="36">
        <f t="shared" si="1"/>
        <v>7.1336128197700299</v>
      </c>
      <c r="N9" s="36">
        <f t="shared" si="2"/>
        <v>-18.331111898890217</v>
      </c>
      <c r="O9" s="36">
        <f t="shared" si="3"/>
        <v>17.309486780766157</v>
      </c>
      <c r="P9" s="36">
        <f t="shared" si="4"/>
        <v>0.70503894459121863</v>
      </c>
      <c r="Q9" s="36">
        <f t="shared" si="5"/>
        <v>9.3879806920067033</v>
      </c>
      <c r="R9" s="37">
        <f>AVERAGE(L9:Q9)</f>
        <v>17.293828915582491</v>
      </c>
      <c r="S9" s="35"/>
    </row>
    <row r="10" spans="1:19" s="4" customFormat="1" ht="10.5" customHeight="1" x14ac:dyDescent="0.25">
      <c r="A10" s="18" t="s">
        <v>3</v>
      </c>
      <c r="B10" s="21">
        <f>73362666+57056340</f>
        <v>130419006</v>
      </c>
      <c r="C10" s="21">
        <f>74707035+60200000</f>
        <v>134907035</v>
      </c>
      <c r="D10" s="21">
        <f>102208480+13203000</f>
        <v>115411480</v>
      </c>
      <c r="E10" s="21">
        <v>164451720</v>
      </c>
      <c r="F10" s="21">
        <v>236987823</v>
      </c>
      <c r="G10" s="30">
        <f>148987506+52232419</f>
        <v>201219925</v>
      </c>
      <c r="H10" s="30">
        <v>210828571</v>
      </c>
      <c r="I10" s="36"/>
      <c r="J10" s="36"/>
      <c r="K10" s="31" t="s">
        <v>3</v>
      </c>
      <c r="L10" s="36">
        <f t="shared" si="0"/>
        <v>3.4412384648906169</v>
      </c>
      <c r="M10" s="36">
        <f t="shared" si="1"/>
        <v>-14.451103309771796</v>
      </c>
      <c r="N10" s="36">
        <f t="shared" si="2"/>
        <v>42.491648144534679</v>
      </c>
      <c r="O10" s="36">
        <f t="shared" si="3"/>
        <v>44.107840890931385</v>
      </c>
      <c r="P10" s="36">
        <f t="shared" si="4"/>
        <v>-15.092715544291913</v>
      </c>
      <c r="Q10" s="36">
        <f t="shared" si="5"/>
        <v>4.7751960945219496</v>
      </c>
      <c r="R10" s="37">
        <f t="shared" ref="R10:R44" si="6">AVERAGE(L10:Q10)</f>
        <v>10.878684123469155</v>
      </c>
      <c r="S10" s="35"/>
    </row>
    <row r="11" spans="1:19" s="4" customFormat="1" ht="10.5" customHeight="1" x14ac:dyDescent="0.25">
      <c r="A11" s="18" t="s">
        <v>4</v>
      </c>
      <c r="B11" s="21">
        <v>164008190</v>
      </c>
      <c r="C11" s="21">
        <v>317049133</v>
      </c>
      <c r="D11" s="21">
        <v>364458039</v>
      </c>
      <c r="E11" s="21">
        <v>391465991</v>
      </c>
      <c r="F11" s="21">
        <v>431125833</v>
      </c>
      <c r="G11" s="30">
        <v>345430313</v>
      </c>
      <c r="H11" s="30">
        <v>299343494</v>
      </c>
      <c r="I11" s="36"/>
      <c r="J11" s="37"/>
      <c r="K11" s="31" t="s">
        <v>4</v>
      </c>
      <c r="L11" s="36">
        <f t="shared" si="0"/>
        <v>93.312988211137508</v>
      </c>
      <c r="M11" s="36">
        <f t="shared" si="1"/>
        <v>14.953173204230152</v>
      </c>
      <c r="N11" s="36">
        <f t="shared" si="2"/>
        <v>7.4104421112796581</v>
      </c>
      <c r="O11" s="36">
        <f t="shared" si="3"/>
        <v>10.131107915323344</v>
      </c>
      <c r="P11" s="36">
        <f t="shared" si="4"/>
        <v>-19.87714802513354</v>
      </c>
      <c r="Q11" s="36">
        <f t="shared" si="5"/>
        <v>-13.341857175111327</v>
      </c>
      <c r="R11" s="37">
        <f t="shared" si="6"/>
        <v>15.431451040287634</v>
      </c>
      <c r="S11" s="35"/>
    </row>
    <row r="12" spans="1:19" s="4" customFormat="1" ht="10.5" customHeight="1" x14ac:dyDescent="0.25">
      <c r="A12" s="18" t="s">
        <v>5</v>
      </c>
      <c r="B12" s="21">
        <f>43522767+161850</f>
        <v>43684617</v>
      </c>
      <c r="C12" s="21">
        <f>148492690+49787575</f>
        <v>198280265</v>
      </c>
      <c r="D12" s="21">
        <f>166127574+398682860</f>
        <v>564810434</v>
      </c>
      <c r="E12" s="21">
        <v>267152387</v>
      </c>
      <c r="F12" s="21">
        <v>358489816</v>
      </c>
      <c r="G12" s="30">
        <f>43426727+240000000</f>
        <v>283426727</v>
      </c>
      <c r="H12" s="30">
        <v>53076714</v>
      </c>
      <c r="I12" s="37"/>
      <c r="J12" s="35"/>
      <c r="K12" s="45" t="s">
        <v>5</v>
      </c>
      <c r="L12" s="49">
        <f t="shared" si="0"/>
        <v>353.89035916235684</v>
      </c>
      <c r="M12" s="49">
        <f t="shared" si="1"/>
        <v>184.85458903335638</v>
      </c>
      <c r="N12" s="49">
        <f t="shared" si="2"/>
        <v>-52.70052199496017</v>
      </c>
      <c r="O12" s="49">
        <f t="shared" si="3"/>
        <v>34.18926180135535</v>
      </c>
      <c r="P12" s="49">
        <f t="shared" si="4"/>
        <v>-20.938694950263248</v>
      </c>
      <c r="Q12" s="49">
        <f t="shared" si="5"/>
        <v>-81.273214928668324</v>
      </c>
      <c r="R12" s="44">
        <f t="shared" si="6"/>
        <v>69.67029635386281</v>
      </c>
      <c r="S12" s="35"/>
    </row>
    <row r="13" spans="1:19" s="4" customFormat="1" ht="10.5" customHeight="1" x14ac:dyDescent="0.25">
      <c r="A13" s="18" t="s">
        <v>6</v>
      </c>
      <c r="B13" s="21">
        <f>90564740+16678111</f>
        <v>107242851</v>
      </c>
      <c r="C13" s="21">
        <f>170091818+414359578</f>
        <v>584451396</v>
      </c>
      <c r="D13" s="21">
        <f>210986391+503244731</f>
        <v>714231122</v>
      </c>
      <c r="E13" s="21">
        <v>619135320</v>
      </c>
      <c r="F13" s="21">
        <v>1147685125</v>
      </c>
      <c r="G13" s="30">
        <f>528191125+585951169</f>
        <v>1114142294</v>
      </c>
      <c r="H13" s="30">
        <v>1262629747</v>
      </c>
      <c r="I13" s="50"/>
      <c r="J13" s="35"/>
      <c r="K13" s="31" t="s">
        <v>6</v>
      </c>
      <c r="L13" s="36">
        <f t="shared" si="0"/>
        <v>444.97935344893057</v>
      </c>
      <c r="M13" s="36">
        <f t="shared" si="1"/>
        <v>22.205392422400848</v>
      </c>
      <c r="N13" s="36">
        <f t="shared" si="2"/>
        <v>-13.314429891225043</v>
      </c>
      <c r="O13" s="36">
        <f t="shared" si="3"/>
        <v>85.369028050281486</v>
      </c>
      <c r="P13" s="36">
        <f t="shared" si="4"/>
        <v>-2.9226510189369281</v>
      </c>
      <c r="Q13" s="36">
        <f t="shared" si="5"/>
        <v>13.327512455065271</v>
      </c>
      <c r="R13" s="37">
        <f t="shared" si="6"/>
        <v>91.607367577752711</v>
      </c>
      <c r="S13" s="35"/>
    </row>
    <row r="14" spans="1:19" s="4" customFormat="1" ht="10.5" customHeight="1" x14ac:dyDescent="0.25">
      <c r="A14" s="18" t="s">
        <v>7</v>
      </c>
      <c r="B14" s="21">
        <f>4332023+406175</f>
        <v>4738198</v>
      </c>
      <c r="C14" s="21">
        <f>8489163+500000</f>
        <v>8989163</v>
      </c>
      <c r="D14" s="21">
        <f>13659091+23447032</f>
        <v>37106123</v>
      </c>
      <c r="E14" s="21">
        <v>35011291</v>
      </c>
      <c r="F14" s="21">
        <v>20687152</v>
      </c>
      <c r="G14" s="30">
        <v>7243781</v>
      </c>
      <c r="H14" s="30">
        <v>7587661</v>
      </c>
      <c r="I14" s="35"/>
      <c r="J14" s="35"/>
      <c r="K14" s="45" t="s">
        <v>7</v>
      </c>
      <c r="L14" s="49">
        <f t="shared" si="0"/>
        <v>89.716913476389124</v>
      </c>
      <c r="M14" s="49">
        <f t="shared" si="1"/>
        <v>312.78729732679233</v>
      </c>
      <c r="N14" s="49">
        <f t="shared" si="2"/>
        <v>-5.6455157010070867</v>
      </c>
      <c r="O14" s="49">
        <f t="shared" si="3"/>
        <v>-40.91291292286251</v>
      </c>
      <c r="P14" s="49">
        <f t="shared" si="4"/>
        <v>-64.984155383012606</v>
      </c>
      <c r="Q14" s="49">
        <f t="shared" si="5"/>
        <v>4.7472445674434427</v>
      </c>
      <c r="R14" s="44">
        <f t="shared" si="6"/>
        <v>49.284811893957112</v>
      </c>
      <c r="S14" s="35"/>
    </row>
    <row r="15" spans="1:19" s="4" customFormat="1" ht="10.5" customHeight="1" x14ac:dyDescent="0.25">
      <c r="A15" s="18" t="s">
        <v>8</v>
      </c>
      <c r="B15" s="21">
        <v>33677510</v>
      </c>
      <c r="C15" s="21">
        <f>94991289</f>
        <v>94991289</v>
      </c>
      <c r="D15" s="21">
        <v>59588920</v>
      </c>
      <c r="E15" s="21">
        <v>56503148</v>
      </c>
      <c r="F15" s="21">
        <v>83567023</v>
      </c>
      <c r="G15" s="30">
        <v>43480145</v>
      </c>
      <c r="H15" s="30">
        <v>58050773</v>
      </c>
      <c r="I15" s="36"/>
      <c r="J15" s="35"/>
      <c r="K15" s="31" t="s">
        <v>8</v>
      </c>
      <c r="L15" s="36">
        <f t="shared" si="0"/>
        <v>182.06149742068223</v>
      </c>
      <c r="M15" s="36">
        <f t="shared" si="1"/>
        <v>-37.269068956417669</v>
      </c>
      <c r="N15" s="36">
        <f t="shared" si="2"/>
        <v>-5.1784325005386878</v>
      </c>
      <c r="O15" s="36">
        <f t="shared" si="3"/>
        <v>47.89799499312852</v>
      </c>
      <c r="P15" s="36">
        <f t="shared" si="4"/>
        <v>-47.969733228381251</v>
      </c>
      <c r="Q15" s="36">
        <f t="shared" si="5"/>
        <v>33.510992201152966</v>
      </c>
      <c r="R15" s="37">
        <f t="shared" si="6"/>
        <v>28.84220832160435</v>
      </c>
      <c r="S15" s="35"/>
    </row>
    <row r="16" spans="1:19" s="4" customFormat="1" ht="10.5" customHeight="1" x14ac:dyDescent="0.25">
      <c r="A16" s="18" t="s">
        <v>9</v>
      </c>
      <c r="B16" s="21">
        <v>6336902</v>
      </c>
      <c r="C16" s="21">
        <f>10653539</f>
        <v>10653539</v>
      </c>
      <c r="D16" s="21">
        <v>21083835</v>
      </c>
      <c r="E16" s="21">
        <v>62766027</v>
      </c>
      <c r="F16" s="21">
        <v>41193488</v>
      </c>
      <c r="G16" s="30">
        <v>41266184</v>
      </c>
      <c r="H16" s="30">
        <v>26979833</v>
      </c>
      <c r="I16" s="36"/>
      <c r="J16" s="35"/>
      <c r="K16" s="45" t="s">
        <v>9</v>
      </c>
      <c r="L16" s="49">
        <f t="shared" si="0"/>
        <v>68.119043027649795</v>
      </c>
      <c r="M16" s="49">
        <f t="shared" si="1"/>
        <v>97.904517925921141</v>
      </c>
      <c r="N16" s="49">
        <f t="shared" si="2"/>
        <v>197.69739233872775</v>
      </c>
      <c r="O16" s="49">
        <f t="shared" si="3"/>
        <v>-34.369769811939818</v>
      </c>
      <c r="P16" s="49">
        <f t="shared" si="4"/>
        <v>0.17647449519204716</v>
      </c>
      <c r="Q16" s="49">
        <f t="shared" si="5"/>
        <v>-34.619995393807187</v>
      </c>
      <c r="R16" s="44">
        <f t="shared" si="6"/>
        <v>49.151277096957294</v>
      </c>
      <c r="S16" s="35"/>
    </row>
    <row r="17" spans="1:19" s="4" customFormat="1" ht="10.5" customHeight="1" x14ac:dyDescent="0.25">
      <c r="A17" s="18" t="s">
        <v>10</v>
      </c>
      <c r="B17" s="21">
        <f>4042044+549500</f>
        <v>4591544</v>
      </c>
      <c r="C17" s="21">
        <f>5083662+264982</f>
        <v>5348644</v>
      </c>
      <c r="D17" s="21">
        <f>5784598+1200000</f>
        <v>6984598</v>
      </c>
      <c r="E17" s="21">
        <v>8589894</v>
      </c>
      <c r="F17" s="21">
        <v>11012421</v>
      </c>
      <c r="G17" s="30">
        <f>6824653+500000</f>
        <v>7324653</v>
      </c>
      <c r="H17" s="30">
        <v>5059751</v>
      </c>
      <c r="I17" s="36"/>
      <c r="J17" s="35"/>
      <c r="K17" s="31" t="s">
        <v>10</v>
      </c>
      <c r="L17" s="36">
        <f t="shared" si="0"/>
        <v>16.489006748056866</v>
      </c>
      <c r="M17" s="36">
        <f t="shared" si="1"/>
        <v>30.58633178801955</v>
      </c>
      <c r="N17" s="36">
        <f t="shared" si="2"/>
        <v>22.983369980634528</v>
      </c>
      <c r="O17" s="36">
        <f t="shared" si="3"/>
        <v>28.202059303642169</v>
      </c>
      <c r="P17" s="36">
        <f t="shared" si="4"/>
        <v>-33.487350329232783</v>
      </c>
      <c r="Q17" s="36">
        <f t="shared" si="5"/>
        <v>-30.921628642339783</v>
      </c>
      <c r="R17" s="37">
        <f t="shared" si="6"/>
        <v>5.6419648081300906</v>
      </c>
      <c r="S17" s="35"/>
    </row>
    <row r="18" spans="1:19" s="4" customFormat="1" ht="10.5" customHeight="1" x14ac:dyDescent="0.25">
      <c r="A18" s="18" t="s">
        <v>11</v>
      </c>
      <c r="B18" s="21">
        <f>5972814+1391000</f>
        <v>7363814</v>
      </c>
      <c r="C18" s="24">
        <f>6630133+3461000</f>
        <v>10091133</v>
      </c>
      <c r="D18" s="21">
        <f>32403346+7440000</f>
        <v>39843346</v>
      </c>
      <c r="E18" s="21">
        <v>30678597</v>
      </c>
      <c r="F18" s="21">
        <v>27044149</v>
      </c>
      <c r="G18" s="30">
        <f>62356964+9520980</f>
        <v>71877944</v>
      </c>
      <c r="H18" s="30">
        <v>42970789</v>
      </c>
      <c r="I18" s="51"/>
      <c r="J18" s="35"/>
      <c r="K18" s="45" t="s">
        <v>11</v>
      </c>
      <c r="L18" s="49">
        <f t="shared" si="0"/>
        <v>37.036771977130336</v>
      </c>
      <c r="M18" s="49">
        <f t="shared" si="1"/>
        <v>294.83520829623393</v>
      </c>
      <c r="N18" s="49">
        <f t="shared" si="2"/>
        <v>-23.001956211207762</v>
      </c>
      <c r="O18" s="49">
        <f t="shared" si="3"/>
        <v>-11.846852057804336</v>
      </c>
      <c r="P18" s="49">
        <f t="shared" si="4"/>
        <v>165.78001770364449</v>
      </c>
      <c r="Q18" s="49">
        <f t="shared" si="5"/>
        <v>-40.217003146333731</v>
      </c>
      <c r="R18" s="44">
        <f t="shared" si="6"/>
        <v>70.431031093610486</v>
      </c>
      <c r="S18" s="35"/>
    </row>
    <row r="19" spans="1:19" s="4" customFormat="1" ht="10.5" customHeight="1" x14ac:dyDescent="0.25">
      <c r="A19" s="18" t="s">
        <v>12</v>
      </c>
      <c r="B19" s="22">
        <v>0</v>
      </c>
      <c r="C19" s="25">
        <v>0</v>
      </c>
      <c r="D19" s="23">
        <v>0</v>
      </c>
      <c r="E19" s="21" t="s">
        <v>43</v>
      </c>
      <c r="F19" s="21">
        <v>0</v>
      </c>
      <c r="G19" s="30">
        <v>0</v>
      </c>
      <c r="H19" s="30">
        <v>0</v>
      </c>
      <c r="I19" s="35"/>
      <c r="J19" s="35"/>
      <c r="K19" s="31" t="s">
        <v>12</v>
      </c>
      <c r="L19" s="36"/>
      <c r="M19" s="36"/>
      <c r="N19" s="36"/>
      <c r="O19" s="36"/>
      <c r="P19" s="36"/>
      <c r="Q19" s="36"/>
      <c r="R19" s="37"/>
      <c r="S19" s="35"/>
    </row>
    <row r="20" spans="1:19" s="4" customFormat="1" ht="10.5" customHeight="1" x14ac:dyDescent="0.25">
      <c r="A20" s="18" t="s">
        <v>13</v>
      </c>
      <c r="B20" s="21">
        <f>3584140+1253112</f>
        <v>4837252</v>
      </c>
      <c r="C20" s="21">
        <f>20359995+2532972</f>
        <v>22892967</v>
      </c>
      <c r="D20" s="21">
        <f>11065972+6252028</f>
        <v>17318000</v>
      </c>
      <c r="E20" s="21">
        <v>12056024</v>
      </c>
      <c r="F20" s="21">
        <v>17436366</v>
      </c>
      <c r="G20" s="30">
        <f>43183038+2070000</f>
        <v>45253038</v>
      </c>
      <c r="H20" s="30">
        <v>37173883</v>
      </c>
      <c r="I20" s="35"/>
      <c r="J20" s="35"/>
      <c r="K20" s="45" t="s">
        <v>13</v>
      </c>
      <c r="L20" s="49">
        <f t="shared" ref="L20:L31" si="7">+((C20/B20)-1)*100</f>
        <v>373.26389032450658</v>
      </c>
      <c r="M20" s="49">
        <f t="shared" ref="M20:M31" si="8">+((D20/C20)-1)*100</f>
        <v>-24.352313092488188</v>
      </c>
      <c r="N20" s="49">
        <f t="shared" ref="N20:N31" si="9">+((E20/D20)-1)*100</f>
        <v>-30.3844323824922</v>
      </c>
      <c r="O20" s="49">
        <f t="shared" ref="O20:O31" si="10">+((F20/E20)-1)*100</f>
        <v>44.627830866959115</v>
      </c>
      <c r="P20" s="49">
        <f t="shared" ref="P20:P31" si="11">+((G20/F20)-1)*100</f>
        <v>159.53250809256926</v>
      </c>
      <c r="Q20" s="49">
        <f t="shared" ref="Q20:Q31" si="12">+((H20/G20)-1)*100</f>
        <v>-17.853287551655651</v>
      </c>
      <c r="R20" s="44">
        <f t="shared" si="6"/>
        <v>84.139032709566493</v>
      </c>
      <c r="S20" s="35"/>
    </row>
    <row r="21" spans="1:19" s="4" customFormat="1" ht="10.5" customHeight="1" x14ac:dyDescent="0.25">
      <c r="A21" s="18" t="s">
        <v>14</v>
      </c>
      <c r="B21" s="21">
        <v>73991246</v>
      </c>
      <c r="C21" s="21">
        <f>178360528</f>
        <v>178360528</v>
      </c>
      <c r="D21" s="21">
        <v>213370638</v>
      </c>
      <c r="E21" s="21">
        <v>143755658</v>
      </c>
      <c r="F21" s="21">
        <v>197409561</v>
      </c>
      <c r="G21" s="30">
        <v>153368935</v>
      </c>
      <c r="H21" s="30">
        <v>98690909</v>
      </c>
      <c r="I21" s="35"/>
      <c r="J21" s="35"/>
      <c r="K21" s="31" t="s">
        <v>14</v>
      </c>
      <c r="L21" s="36">
        <f t="shared" si="7"/>
        <v>141.05625684422182</v>
      </c>
      <c r="M21" s="36">
        <f t="shared" si="8"/>
        <v>19.628844112863362</v>
      </c>
      <c r="N21" s="36">
        <f t="shared" si="9"/>
        <v>-32.62631665374689</v>
      </c>
      <c r="O21" s="36">
        <f t="shared" si="10"/>
        <v>37.322985228170992</v>
      </c>
      <c r="P21" s="36">
        <f t="shared" si="11"/>
        <v>-22.309266976182574</v>
      </c>
      <c r="Q21" s="36">
        <f t="shared" si="12"/>
        <v>-35.651304483531817</v>
      </c>
      <c r="R21" s="37">
        <f t="shared" si="6"/>
        <v>17.903533011965816</v>
      </c>
      <c r="S21" s="35"/>
    </row>
    <row r="22" spans="1:19" s="4" customFormat="1" ht="15" customHeight="1" x14ac:dyDescent="0.25">
      <c r="A22" s="18" t="s">
        <v>15</v>
      </c>
      <c r="B22" s="21">
        <v>158586164</v>
      </c>
      <c r="C22" s="21">
        <v>251881896</v>
      </c>
      <c r="D22" s="21">
        <v>275430214</v>
      </c>
      <c r="E22" s="21">
        <v>266636085</v>
      </c>
      <c r="F22" s="21">
        <v>281394679</v>
      </c>
      <c r="G22" s="30">
        <v>247126513</v>
      </c>
      <c r="H22" s="30">
        <v>203090651</v>
      </c>
      <c r="I22" s="35"/>
      <c r="J22" s="35"/>
      <c r="K22" s="31" t="s">
        <v>15</v>
      </c>
      <c r="L22" s="36">
        <f t="shared" si="7"/>
        <v>58.829679492089859</v>
      </c>
      <c r="M22" s="36">
        <f t="shared" si="8"/>
        <v>9.3489521771743291</v>
      </c>
      <c r="N22" s="36">
        <f t="shared" si="9"/>
        <v>-3.1928701184540387</v>
      </c>
      <c r="O22" s="36">
        <f t="shared" si="10"/>
        <v>5.5351075230496205</v>
      </c>
      <c r="P22" s="36">
        <f t="shared" si="11"/>
        <v>-12.177972277862438</v>
      </c>
      <c r="Q22" s="36">
        <f t="shared" si="12"/>
        <v>-17.819157267031084</v>
      </c>
      <c r="R22" s="37">
        <f t="shared" si="6"/>
        <v>6.7539565881610413</v>
      </c>
      <c r="S22" s="35"/>
    </row>
    <row r="23" spans="1:19" s="4" customFormat="1" ht="10.5" customHeight="1" x14ac:dyDescent="0.25">
      <c r="A23" s="18" t="s">
        <v>16</v>
      </c>
      <c r="B23" s="21">
        <v>997974</v>
      </c>
      <c r="C23" s="21">
        <v>1320000</v>
      </c>
      <c r="D23" s="21">
        <v>4870945</v>
      </c>
      <c r="E23" s="21">
        <v>1756500</v>
      </c>
      <c r="F23" s="21">
        <v>2562831</v>
      </c>
      <c r="G23" s="30">
        <v>2438500</v>
      </c>
      <c r="H23" s="30">
        <v>800000</v>
      </c>
      <c r="I23" s="35"/>
      <c r="J23" s="35"/>
      <c r="K23" s="45" t="s">
        <v>16</v>
      </c>
      <c r="L23" s="49">
        <f t="shared" si="7"/>
        <v>32.267974917182208</v>
      </c>
      <c r="M23" s="49">
        <f t="shared" si="8"/>
        <v>269.0109848484849</v>
      </c>
      <c r="N23" s="49">
        <f t="shared" si="9"/>
        <v>-63.93923561033845</v>
      </c>
      <c r="O23" s="49">
        <f t="shared" si="10"/>
        <v>45.905550811272413</v>
      </c>
      <c r="P23" s="49">
        <f t="shared" si="11"/>
        <v>-4.8513148155301717</v>
      </c>
      <c r="Q23" s="49">
        <f t="shared" si="12"/>
        <v>-67.192946483493955</v>
      </c>
      <c r="R23" s="44">
        <f t="shared" si="6"/>
        <v>35.200168944596165</v>
      </c>
      <c r="S23" s="35"/>
    </row>
    <row r="24" spans="1:19" s="4" customFormat="1" ht="10.5" customHeight="1" x14ac:dyDescent="0.25">
      <c r="A24" s="18" t="s">
        <v>41</v>
      </c>
      <c r="B24" s="21">
        <v>67854600</v>
      </c>
      <c r="C24" s="21">
        <v>110926687</v>
      </c>
      <c r="D24" s="21">
        <v>121152881</v>
      </c>
      <c r="E24" s="21">
        <v>132324833</v>
      </c>
      <c r="F24" s="21">
        <v>138334967</v>
      </c>
      <c r="G24" s="30">
        <v>157455288</v>
      </c>
      <c r="H24" s="30">
        <v>179493927</v>
      </c>
      <c r="I24" s="35"/>
      <c r="J24" s="35"/>
      <c r="K24" s="31" t="s">
        <v>41</v>
      </c>
      <c r="L24" s="36">
        <f t="shared" si="7"/>
        <v>63.477033244614219</v>
      </c>
      <c r="M24" s="36">
        <f t="shared" si="8"/>
        <v>9.2188762475165156</v>
      </c>
      <c r="N24" s="36">
        <f t="shared" si="9"/>
        <v>9.2213671749167947</v>
      </c>
      <c r="O24" s="36">
        <f t="shared" si="10"/>
        <v>4.5419547213787048</v>
      </c>
      <c r="P24" s="36">
        <f t="shared" si="11"/>
        <v>13.821755565243322</v>
      </c>
      <c r="Q24" s="36">
        <f t="shared" si="12"/>
        <v>13.996760146918664</v>
      </c>
      <c r="R24" s="37">
        <f t="shared" si="6"/>
        <v>19.046291183431368</v>
      </c>
      <c r="S24" s="35"/>
    </row>
    <row r="25" spans="1:19" s="4" customFormat="1" ht="10.5" customHeight="1" x14ac:dyDescent="0.25">
      <c r="A25" s="18" t="s">
        <v>18</v>
      </c>
      <c r="B25" s="21">
        <v>112429755</v>
      </c>
      <c r="C25" s="21">
        <f>153953859+206931580</f>
        <v>360885439</v>
      </c>
      <c r="D25" s="21">
        <f>135807066+189735996</f>
        <v>325543062</v>
      </c>
      <c r="E25" s="21">
        <v>483741282</v>
      </c>
      <c r="F25" s="21">
        <v>210178886</v>
      </c>
      <c r="G25" s="30">
        <f>30256163+173011066</f>
        <v>203267229</v>
      </c>
      <c r="H25" s="30">
        <v>528245707</v>
      </c>
      <c r="I25" s="35"/>
      <c r="J25" s="35"/>
      <c r="K25" s="45" t="s">
        <v>18</v>
      </c>
      <c r="L25" s="49">
        <f t="shared" si="7"/>
        <v>220.98748147232018</v>
      </c>
      <c r="M25" s="49">
        <f t="shared" si="8"/>
        <v>-9.7932399539123587</v>
      </c>
      <c r="N25" s="49">
        <f t="shared" si="9"/>
        <v>48.595174791346032</v>
      </c>
      <c r="O25" s="49">
        <f t="shared" si="10"/>
        <v>-56.551385250597654</v>
      </c>
      <c r="P25" s="49">
        <f t="shared" si="11"/>
        <v>-3.2884639991859088</v>
      </c>
      <c r="Q25" s="49">
        <f t="shared" si="12"/>
        <v>159.87745766928322</v>
      </c>
      <c r="R25" s="44">
        <f t="shared" si="6"/>
        <v>59.971170788208916</v>
      </c>
      <c r="S25" s="35"/>
    </row>
    <row r="26" spans="1:19" s="4" customFormat="1" ht="10.5" customHeight="1" x14ac:dyDescent="0.25">
      <c r="A26" s="18" t="s">
        <v>17</v>
      </c>
      <c r="B26" s="21">
        <v>27823620</v>
      </c>
      <c r="C26" s="21">
        <v>36322301</v>
      </c>
      <c r="D26" s="21">
        <v>38132250</v>
      </c>
      <c r="E26" s="21">
        <v>54755958</v>
      </c>
      <c r="F26" s="21">
        <v>35998266</v>
      </c>
      <c r="G26" s="30">
        <v>43692419</v>
      </c>
      <c r="H26" s="30">
        <v>27325504</v>
      </c>
      <c r="I26" s="35"/>
      <c r="J26" s="35"/>
      <c r="K26" s="31" t="s">
        <v>17</v>
      </c>
      <c r="L26" s="36">
        <f t="shared" si="7"/>
        <v>30.544842834972584</v>
      </c>
      <c r="M26" s="36">
        <f t="shared" si="8"/>
        <v>4.9830240655733826</v>
      </c>
      <c r="N26" s="36">
        <f t="shared" si="9"/>
        <v>43.594878351002109</v>
      </c>
      <c r="O26" s="36">
        <f t="shared" si="10"/>
        <v>-34.256896756331066</v>
      </c>
      <c r="P26" s="36">
        <f t="shared" si="11"/>
        <v>21.373676720984292</v>
      </c>
      <c r="Q26" s="36">
        <f t="shared" si="12"/>
        <v>-37.459393127215044</v>
      </c>
      <c r="R26" s="37">
        <f t="shared" si="6"/>
        <v>4.7966886814977121</v>
      </c>
      <c r="S26" s="35"/>
    </row>
    <row r="27" spans="1:19" s="4" customFormat="1" ht="10.5" customHeight="1" x14ac:dyDescent="0.25">
      <c r="A27" s="18" t="s">
        <v>19</v>
      </c>
      <c r="B27" s="21">
        <v>5333056</v>
      </c>
      <c r="C27" s="21">
        <v>13606780</v>
      </c>
      <c r="D27" s="21">
        <v>14223245</v>
      </c>
      <c r="E27" s="21">
        <v>20236153.399999999</v>
      </c>
      <c r="F27" s="21">
        <v>22513668</v>
      </c>
      <c r="G27" s="30">
        <v>16940397</v>
      </c>
      <c r="H27" s="30">
        <v>20885244</v>
      </c>
      <c r="I27" s="35"/>
      <c r="J27" s="35"/>
      <c r="K27" s="45" t="s">
        <v>19</v>
      </c>
      <c r="L27" s="49">
        <f t="shared" si="7"/>
        <v>155.14039230039961</v>
      </c>
      <c r="M27" s="49">
        <f t="shared" si="8"/>
        <v>4.5305722588297792</v>
      </c>
      <c r="N27" s="49">
        <f t="shared" si="9"/>
        <v>42.275222004542542</v>
      </c>
      <c r="O27" s="49">
        <f t="shared" si="10"/>
        <v>11.254681435652692</v>
      </c>
      <c r="P27" s="49">
        <f t="shared" si="11"/>
        <v>-24.755055462308494</v>
      </c>
      <c r="Q27" s="49">
        <f t="shared" si="12"/>
        <v>23.286626635727604</v>
      </c>
      <c r="R27" s="44">
        <f t="shared" si="6"/>
        <v>35.288739862140623</v>
      </c>
      <c r="S27" s="35"/>
    </row>
    <row r="28" spans="1:19" s="4" customFormat="1" ht="10.5" customHeight="1" x14ac:dyDescent="0.25">
      <c r="A28" s="18" t="s">
        <v>23</v>
      </c>
      <c r="B28" s="21">
        <v>95559814</v>
      </c>
      <c r="C28" s="21">
        <v>212161658</v>
      </c>
      <c r="D28" s="21">
        <v>330608261</v>
      </c>
      <c r="E28" s="21">
        <v>301631502</v>
      </c>
      <c r="F28" s="21">
        <v>789320802</v>
      </c>
      <c r="G28" s="30">
        <v>1113456256</v>
      </c>
      <c r="H28" s="30">
        <v>738870455</v>
      </c>
      <c r="I28" s="35"/>
      <c r="J28" s="35"/>
      <c r="K28" s="45" t="s">
        <v>23</v>
      </c>
      <c r="L28" s="49">
        <f t="shared" si="7"/>
        <v>122.01974775714821</v>
      </c>
      <c r="M28" s="49">
        <f t="shared" si="8"/>
        <v>55.828467837482677</v>
      </c>
      <c r="N28" s="49">
        <f t="shared" si="9"/>
        <v>-8.7646808680319044</v>
      </c>
      <c r="O28" s="49">
        <f t="shared" si="10"/>
        <v>161.68380847700715</v>
      </c>
      <c r="P28" s="49">
        <f t="shared" si="11"/>
        <v>41.065109798031152</v>
      </c>
      <c r="Q28" s="49">
        <f t="shared" si="12"/>
        <v>-33.641716859687754</v>
      </c>
      <c r="R28" s="44">
        <f t="shared" si="6"/>
        <v>56.365122690324917</v>
      </c>
      <c r="S28" s="35"/>
    </row>
    <row r="29" spans="1:19" s="4" customFormat="1" ht="10.5" customHeight="1" x14ac:dyDescent="0.25">
      <c r="A29" s="18" t="s">
        <v>32</v>
      </c>
      <c r="B29" s="21">
        <v>97240820</v>
      </c>
      <c r="C29" s="21">
        <v>171035971</v>
      </c>
      <c r="D29" s="21">
        <v>131377994</v>
      </c>
      <c r="E29" s="21">
        <v>173127448</v>
      </c>
      <c r="F29" s="21">
        <v>198872760</v>
      </c>
      <c r="G29" s="30">
        <v>232575417</v>
      </c>
      <c r="H29" s="30">
        <v>311859403</v>
      </c>
      <c r="I29" s="35"/>
      <c r="J29" s="35"/>
      <c r="K29" s="31" t="s">
        <v>32</v>
      </c>
      <c r="L29" s="36">
        <f t="shared" si="7"/>
        <v>75.889066957682999</v>
      </c>
      <c r="M29" s="36">
        <f t="shared" si="8"/>
        <v>-23.186921890249621</v>
      </c>
      <c r="N29" s="36">
        <f t="shared" si="9"/>
        <v>31.778118030939041</v>
      </c>
      <c r="O29" s="36">
        <f t="shared" si="10"/>
        <v>14.870728066181616</v>
      </c>
      <c r="P29" s="36">
        <f t="shared" si="11"/>
        <v>16.94684430386544</v>
      </c>
      <c r="Q29" s="36">
        <f t="shared" si="12"/>
        <v>34.08958135932312</v>
      </c>
      <c r="R29" s="37">
        <f t="shared" si="6"/>
        <v>25.064569471290429</v>
      </c>
      <c r="S29" s="35"/>
    </row>
    <row r="30" spans="1:19" s="4" customFormat="1" ht="10.5" customHeight="1" x14ac:dyDescent="0.25">
      <c r="A30" s="18" t="s">
        <v>33</v>
      </c>
      <c r="B30" s="21">
        <v>146977125</v>
      </c>
      <c r="C30" s="21">
        <v>263091159</v>
      </c>
      <c r="D30" s="21">
        <v>361505919</v>
      </c>
      <c r="E30" s="21">
        <v>195488254</v>
      </c>
      <c r="F30" s="21">
        <v>241464302</v>
      </c>
      <c r="G30" s="30">
        <v>276177117</v>
      </c>
      <c r="H30" s="30">
        <v>163172036</v>
      </c>
      <c r="I30" s="35"/>
      <c r="J30" s="35"/>
      <c r="K30" s="31" t="s">
        <v>33</v>
      </c>
      <c r="L30" s="36">
        <f t="shared" si="7"/>
        <v>79.001432365750787</v>
      </c>
      <c r="M30" s="36">
        <f t="shared" si="8"/>
        <v>37.407095082203057</v>
      </c>
      <c r="N30" s="36">
        <f t="shared" si="9"/>
        <v>-45.923913350918056</v>
      </c>
      <c r="O30" s="36">
        <f t="shared" si="10"/>
        <v>23.518573141483976</v>
      </c>
      <c r="P30" s="36">
        <f t="shared" si="11"/>
        <v>14.375961461996978</v>
      </c>
      <c r="Q30" s="36">
        <f t="shared" si="12"/>
        <v>-40.917611939587303</v>
      </c>
      <c r="R30" s="37">
        <f t="shared" si="6"/>
        <v>11.243589460154906</v>
      </c>
      <c r="S30" s="35"/>
    </row>
    <row r="31" spans="1:19" s="4" customFormat="1" ht="10.5" customHeight="1" x14ac:dyDescent="0.25">
      <c r="A31" s="18" t="s">
        <v>34</v>
      </c>
      <c r="B31" s="21">
        <v>56777257</v>
      </c>
      <c r="C31" s="21">
        <v>83998586</v>
      </c>
      <c r="D31" s="21">
        <v>101788102</v>
      </c>
      <c r="E31" s="21">
        <v>78224823</v>
      </c>
      <c r="F31" s="21">
        <v>125192671</v>
      </c>
      <c r="G31" s="30">
        <v>137621091</v>
      </c>
      <c r="H31" s="30">
        <v>381212567</v>
      </c>
      <c r="I31" s="35"/>
      <c r="J31" s="35"/>
      <c r="K31" s="45" t="s">
        <v>34</v>
      </c>
      <c r="L31" s="49">
        <f t="shared" si="7"/>
        <v>47.944072042789941</v>
      </c>
      <c r="M31" s="49">
        <f t="shared" si="8"/>
        <v>21.178351740349544</v>
      </c>
      <c r="N31" s="49">
        <f t="shared" si="9"/>
        <v>-23.149345097327778</v>
      </c>
      <c r="O31" s="49">
        <f t="shared" si="10"/>
        <v>60.042127548182499</v>
      </c>
      <c r="P31" s="49">
        <f t="shared" si="11"/>
        <v>9.9274341706472526</v>
      </c>
      <c r="Q31" s="49">
        <f t="shared" si="12"/>
        <v>177.00155857651208</v>
      </c>
      <c r="R31" s="44">
        <f t="shared" si="6"/>
        <v>48.824033163525591</v>
      </c>
      <c r="S31" s="35"/>
    </row>
    <row r="32" spans="1:19" s="4" customFormat="1" ht="10.5" customHeight="1" x14ac:dyDescent="0.25">
      <c r="A32" s="18" t="s">
        <v>38</v>
      </c>
      <c r="B32" s="21"/>
      <c r="C32" s="21"/>
      <c r="D32" s="21">
        <v>338465456</v>
      </c>
      <c r="E32" s="21">
        <v>349493475</v>
      </c>
      <c r="F32" s="21">
        <v>521101585</v>
      </c>
      <c r="G32" s="30">
        <v>306260718</v>
      </c>
      <c r="H32" s="30">
        <v>507104442</v>
      </c>
      <c r="I32" s="35"/>
      <c r="J32" s="35"/>
      <c r="K32" s="31" t="s">
        <v>38</v>
      </c>
      <c r="L32" s="36"/>
      <c r="M32" s="36"/>
      <c r="N32" s="36">
        <f t="shared" ref="N32:N44" si="13">+((E32/D32)-1)*100</f>
        <v>3.2582406282548382</v>
      </c>
      <c r="O32" s="36">
        <f t="shared" ref="O32:O44" si="14">+((F32/E32)-1)*100</f>
        <v>49.101949614366916</v>
      </c>
      <c r="P32" s="36">
        <f t="shared" ref="P32:P44" si="15">+((G32/F32)-1)*100</f>
        <v>-41.228212153682087</v>
      </c>
      <c r="Q32" s="36">
        <f t="shared" ref="Q32:Q43" si="16">+((H32/G32)-1)*100</f>
        <v>65.579329047351081</v>
      </c>
      <c r="R32" s="37">
        <f>AVERAGE(N32:Q32)</f>
        <v>19.177826784072685</v>
      </c>
      <c r="S32" s="35"/>
    </row>
    <row r="33" spans="1:19" s="4" customFormat="1" ht="10.5" customHeight="1" x14ac:dyDescent="0.25">
      <c r="A33" s="31" t="s">
        <v>20</v>
      </c>
      <c r="B33" s="21">
        <v>400618046</v>
      </c>
      <c r="C33" s="21">
        <v>2061101694</v>
      </c>
      <c r="D33" s="21">
        <v>961320502</v>
      </c>
      <c r="E33" s="21">
        <v>2129497963</v>
      </c>
      <c r="F33" s="21">
        <v>1201861365</v>
      </c>
      <c r="G33" s="30">
        <v>2260635802</v>
      </c>
      <c r="H33" s="30">
        <v>2398161926</v>
      </c>
      <c r="I33" s="35"/>
      <c r="J33" s="35"/>
      <c r="K33" s="31" t="s">
        <v>20</v>
      </c>
      <c r="L33" s="36">
        <f t="shared" ref="L33:L44" si="17">+((C33/B33)-1)*100</f>
        <v>414.48049197464263</v>
      </c>
      <c r="M33" s="36">
        <f t="shared" ref="M33:M44" si="18">+((D33/C33)-1)*100</f>
        <v>-53.358900009714901</v>
      </c>
      <c r="N33" s="36">
        <f t="shared" si="13"/>
        <v>121.51800139179807</v>
      </c>
      <c r="O33" s="36">
        <f t="shared" si="14"/>
        <v>-43.561281302808176</v>
      </c>
      <c r="P33" s="36">
        <f t="shared" si="15"/>
        <v>88.094556313489619</v>
      </c>
      <c r="Q33" s="36">
        <f t="shared" si="16"/>
        <v>6.083515260544381</v>
      </c>
      <c r="R33" s="37">
        <f t="shared" si="6"/>
        <v>88.87606393799193</v>
      </c>
      <c r="S33" s="35"/>
    </row>
    <row r="34" spans="1:19" ht="19.5" customHeight="1" x14ac:dyDescent="0.25">
      <c r="A34" s="12" t="s">
        <v>21</v>
      </c>
      <c r="B34" s="26">
        <f t="shared" ref="B34:H34" si="19">B40+B39+B35+B41+B42</f>
        <v>1314160031</v>
      </c>
      <c r="C34" s="26">
        <f t="shared" si="19"/>
        <v>2808230556</v>
      </c>
      <c r="D34" s="26">
        <f t="shared" si="19"/>
        <v>2820691301</v>
      </c>
      <c r="E34" s="26">
        <f t="shared" si="19"/>
        <v>3275125979.4000001</v>
      </c>
      <c r="F34" s="26">
        <f t="shared" si="19"/>
        <v>3595242735</v>
      </c>
      <c r="G34" s="26">
        <f t="shared" si="19"/>
        <v>3675969427</v>
      </c>
      <c r="H34" s="26">
        <f t="shared" si="19"/>
        <v>3229965530</v>
      </c>
      <c r="K34" s="12" t="s">
        <v>21</v>
      </c>
      <c r="L34" s="40">
        <f t="shared" si="17"/>
        <v>113.69015110458798</v>
      </c>
      <c r="M34" s="40">
        <f t="shared" si="18"/>
        <v>0.44372229243700989</v>
      </c>
      <c r="N34" s="40">
        <f t="shared" si="13"/>
        <v>16.110755481781801</v>
      </c>
      <c r="O34" s="40">
        <f t="shared" si="14"/>
        <v>9.7741814395379443</v>
      </c>
      <c r="P34" s="40">
        <f t="shared" si="15"/>
        <v>2.2453752903557334</v>
      </c>
      <c r="Q34" s="40">
        <f t="shared" si="16"/>
        <v>-12.132959913216379</v>
      </c>
      <c r="R34" s="40">
        <f t="shared" si="6"/>
        <v>21.688537615914015</v>
      </c>
    </row>
    <row r="35" spans="1:19" s="4" customFormat="1" ht="14.25" customHeight="1" x14ac:dyDescent="0.25">
      <c r="A35" s="32" t="s">
        <v>39</v>
      </c>
      <c r="B35" s="25">
        <f t="shared" ref="B35:H35" si="20">B38+B37+B36</f>
        <v>601781316</v>
      </c>
      <c r="C35" s="25">
        <f t="shared" si="20"/>
        <v>1496845447</v>
      </c>
      <c r="D35" s="25">
        <f t="shared" si="20"/>
        <v>1451593248</v>
      </c>
      <c r="E35" s="21">
        <f t="shared" si="20"/>
        <v>1726996952.4000001</v>
      </c>
      <c r="F35" s="21">
        <f t="shared" si="20"/>
        <v>1862664829</v>
      </c>
      <c r="G35" s="21">
        <f t="shared" si="20"/>
        <v>1774183478</v>
      </c>
      <c r="H35" s="21">
        <f t="shared" si="20"/>
        <v>1557360542</v>
      </c>
      <c r="I35" s="50"/>
      <c r="J35" s="36"/>
      <c r="K35" s="32" t="s">
        <v>39</v>
      </c>
      <c r="L35" s="36">
        <f t="shared" si="17"/>
        <v>148.73577946045771</v>
      </c>
      <c r="M35" s="36">
        <f t="shared" si="18"/>
        <v>-3.0231711023135488</v>
      </c>
      <c r="N35" s="36">
        <f t="shared" si="13"/>
        <v>18.972512084872982</v>
      </c>
      <c r="O35" s="36">
        <f t="shared" si="14"/>
        <v>7.8557102496019438</v>
      </c>
      <c r="P35" s="36">
        <f t="shared" si="15"/>
        <v>-4.7502561718257503</v>
      </c>
      <c r="Q35" s="36">
        <f t="shared" si="16"/>
        <v>-12.220998486831814</v>
      </c>
      <c r="R35" s="37">
        <f t="shared" si="6"/>
        <v>25.928262672326923</v>
      </c>
      <c r="S35" s="35"/>
    </row>
    <row r="36" spans="1:19" s="4" customFormat="1" ht="12.75" customHeight="1" x14ac:dyDescent="0.25">
      <c r="A36" s="19" t="s">
        <v>25</v>
      </c>
      <c r="B36" s="21">
        <f>305741402+31887030</f>
        <v>337628432</v>
      </c>
      <c r="C36" s="21">
        <f>467809234+89936360</f>
        <v>557745594</v>
      </c>
      <c r="D36" s="21">
        <f>553817588+82039237</f>
        <v>635856825</v>
      </c>
      <c r="E36" s="21">
        <v>792240407</v>
      </c>
      <c r="F36" s="21">
        <f>755951110+74072907</f>
        <v>830024017</v>
      </c>
      <c r="G36" s="21">
        <f>646172210+95269314</f>
        <v>741441524</v>
      </c>
      <c r="H36" s="21">
        <v>670953543</v>
      </c>
      <c r="I36" s="35"/>
      <c r="J36" s="36"/>
      <c r="K36" s="41" t="s">
        <v>25</v>
      </c>
      <c r="L36" s="36">
        <f t="shared" si="17"/>
        <v>65.195090560382667</v>
      </c>
      <c r="M36" s="36">
        <f t="shared" si="18"/>
        <v>14.004813635515688</v>
      </c>
      <c r="N36" s="36">
        <f t="shared" si="13"/>
        <v>24.594150106039979</v>
      </c>
      <c r="O36" s="36">
        <f t="shared" si="14"/>
        <v>4.7692101622380356</v>
      </c>
      <c r="P36" s="36">
        <f t="shared" si="15"/>
        <v>-10.672280703414872</v>
      </c>
      <c r="Q36" s="36">
        <f t="shared" si="16"/>
        <v>-9.5068833776296593</v>
      </c>
      <c r="R36" s="37">
        <f t="shared" si="6"/>
        <v>14.73068339718864</v>
      </c>
      <c r="S36" s="35"/>
    </row>
    <row r="37" spans="1:19" s="4" customFormat="1" ht="12.75" customHeight="1" x14ac:dyDescent="0.25">
      <c r="A37" s="19" t="s">
        <v>24</v>
      </c>
      <c r="B37" s="21">
        <v>54718381</v>
      </c>
      <c r="C37" s="21">
        <v>228143796</v>
      </c>
      <c r="D37" s="21">
        <f>247671353+4001000</f>
        <v>251672353</v>
      </c>
      <c r="E37" s="21">
        <v>316677629.39999998</v>
      </c>
      <c r="F37" s="21">
        <f>292981792+7840000</f>
        <v>300821792</v>
      </c>
      <c r="G37" s="21">
        <f>286211105+348000</f>
        <v>286559105</v>
      </c>
      <c r="H37" s="21">
        <v>300580804</v>
      </c>
      <c r="I37" s="37"/>
      <c r="J37" s="36"/>
      <c r="K37" s="46" t="s">
        <v>24</v>
      </c>
      <c r="L37" s="36">
        <f t="shared" si="17"/>
        <v>316.94178780618529</v>
      </c>
      <c r="M37" s="36">
        <f t="shared" si="18"/>
        <v>10.313038273458019</v>
      </c>
      <c r="N37" s="36">
        <f t="shared" si="13"/>
        <v>25.829327546359448</v>
      </c>
      <c r="O37" s="36">
        <f t="shared" si="14"/>
        <v>-5.006933211556996</v>
      </c>
      <c r="P37" s="36">
        <f t="shared" si="15"/>
        <v>-4.74124128613661</v>
      </c>
      <c r="Q37" s="36">
        <f t="shared" si="16"/>
        <v>4.893126323799768</v>
      </c>
      <c r="R37" s="37">
        <f t="shared" si="6"/>
        <v>58.038184242018154</v>
      </c>
      <c r="S37" s="35"/>
    </row>
    <row r="38" spans="1:19" s="4" customFormat="1" ht="12.75" customHeight="1" x14ac:dyDescent="0.25">
      <c r="A38" s="19" t="s">
        <v>26</v>
      </c>
      <c r="B38" s="21">
        <v>209434503</v>
      </c>
      <c r="C38" s="21">
        <v>710956057</v>
      </c>
      <c r="D38" s="21">
        <v>564064070</v>
      </c>
      <c r="E38" s="21">
        <v>618078916</v>
      </c>
      <c r="F38" s="21">
        <v>731819020</v>
      </c>
      <c r="G38" s="21">
        <v>746182849</v>
      </c>
      <c r="H38" s="21">
        <v>585826195</v>
      </c>
      <c r="I38" s="35"/>
      <c r="J38" s="35"/>
      <c r="K38" s="41" t="s">
        <v>26</v>
      </c>
      <c r="L38" s="36">
        <f t="shared" si="17"/>
        <v>239.46462823272245</v>
      </c>
      <c r="M38" s="36">
        <f t="shared" si="18"/>
        <v>-20.661190737981151</v>
      </c>
      <c r="N38" s="36">
        <f t="shared" si="13"/>
        <v>9.576012526378431</v>
      </c>
      <c r="O38" s="36">
        <f t="shared" si="14"/>
        <v>18.402197689590814</v>
      </c>
      <c r="P38" s="36">
        <f t="shared" si="15"/>
        <v>1.9627569942087586</v>
      </c>
      <c r="Q38" s="36">
        <f t="shared" si="16"/>
        <v>-21.490262636685177</v>
      </c>
      <c r="R38" s="37">
        <f t="shared" si="6"/>
        <v>37.875690344705689</v>
      </c>
      <c r="S38" s="35"/>
    </row>
    <row r="39" spans="1:19" s="4" customFormat="1" ht="13.5" customHeight="1" x14ac:dyDescent="0.25">
      <c r="A39" s="19" t="s">
        <v>35</v>
      </c>
      <c r="B39" s="21">
        <f>128481137+4201019</f>
        <v>132682156</v>
      </c>
      <c r="C39" s="21">
        <f>264202019+875000</f>
        <v>265077019</v>
      </c>
      <c r="D39" s="21">
        <f>249827503+1339994</f>
        <v>251167497</v>
      </c>
      <c r="E39" s="21">
        <v>325549656</v>
      </c>
      <c r="F39" s="21">
        <f>349658995+2710000</f>
        <v>352368995</v>
      </c>
      <c r="G39" s="21">
        <f>406787010+2325000</f>
        <v>409112010</v>
      </c>
      <c r="H39" s="21">
        <v>357257585</v>
      </c>
      <c r="I39" s="36"/>
      <c r="J39" s="35"/>
      <c r="K39" s="41" t="s">
        <v>35</v>
      </c>
      <c r="L39" s="36">
        <f t="shared" si="17"/>
        <v>99.783472767807609</v>
      </c>
      <c r="M39" s="36">
        <f t="shared" si="18"/>
        <v>-5.2473511481581863</v>
      </c>
      <c r="N39" s="36">
        <f t="shared" si="13"/>
        <v>29.614563941766715</v>
      </c>
      <c r="O39" s="36">
        <f t="shared" si="14"/>
        <v>8.2381715064690386</v>
      </c>
      <c r="P39" s="36">
        <f t="shared" si="15"/>
        <v>16.103293934813976</v>
      </c>
      <c r="Q39" s="36">
        <f t="shared" si="16"/>
        <v>-12.674872341195753</v>
      </c>
      <c r="R39" s="37">
        <f t="shared" si="6"/>
        <v>22.636213110250562</v>
      </c>
      <c r="S39" s="35"/>
    </row>
    <row r="40" spans="1:19" s="4" customFormat="1" ht="10.5" customHeight="1" x14ac:dyDescent="0.25">
      <c r="A40" s="19" t="s">
        <v>36</v>
      </c>
      <c r="B40" s="21">
        <f>96167399</f>
        <v>96167399</v>
      </c>
      <c r="C40" s="21">
        <v>272391826</v>
      </c>
      <c r="D40" s="21">
        <v>352258614</v>
      </c>
      <c r="E40" s="21">
        <v>547893441</v>
      </c>
      <c r="F40" s="21">
        <v>648444327</v>
      </c>
      <c r="G40" s="21">
        <v>756261773</v>
      </c>
      <c r="H40" s="21">
        <v>563003922</v>
      </c>
      <c r="I40" s="36"/>
      <c r="J40" s="35"/>
      <c r="K40" s="41" t="s">
        <v>36</v>
      </c>
      <c r="L40" s="36">
        <f t="shared" si="17"/>
        <v>183.24757540754533</v>
      </c>
      <c r="M40" s="36">
        <f t="shared" si="18"/>
        <v>29.320552372228683</v>
      </c>
      <c r="N40" s="36">
        <f t="shared" si="13"/>
        <v>55.537272681144437</v>
      </c>
      <c r="O40" s="36">
        <f t="shared" si="14"/>
        <v>18.352270437199849</v>
      </c>
      <c r="P40" s="36">
        <f t="shared" si="15"/>
        <v>16.627093724269713</v>
      </c>
      <c r="Q40" s="36">
        <f t="shared" si="16"/>
        <v>-25.554359336895903</v>
      </c>
      <c r="R40" s="37">
        <f t="shared" si="6"/>
        <v>46.255067547582009</v>
      </c>
      <c r="S40" s="35"/>
    </row>
    <row r="41" spans="1:19" s="2" customFormat="1" ht="12" customHeight="1" x14ac:dyDescent="0.25">
      <c r="A41" s="7" t="s">
        <v>30</v>
      </c>
      <c r="B41" s="33">
        <f>85746591+380183822+12202704</f>
        <v>478133117</v>
      </c>
      <c r="C41" s="33">
        <v>757963438</v>
      </c>
      <c r="D41" s="33">
        <v>747535163</v>
      </c>
      <c r="E41" s="34">
        <v>649933975</v>
      </c>
      <c r="F41" s="34">
        <v>692842122</v>
      </c>
      <c r="G41" s="34">
        <f>122476638+572571645+3390000</f>
        <v>698438283</v>
      </c>
      <c r="H41" s="34">
        <v>723672252</v>
      </c>
      <c r="I41" s="38"/>
      <c r="J41" s="39"/>
      <c r="K41" s="32" t="s">
        <v>30</v>
      </c>
      <c r="L41" s="36">
        <f t="shared" si="17"/>
        <v>58.525609511377972</v>
      </c>
      <c r="M41" s="36">
        <f t="shared" si="18"/>
        <v>-1.3758282361899354</v>
      </c>
      <c r="N41" s="36">
        <f t="shared" si="13"/>
        <v>-13.056400933476887</v>
      </c>
      <c r="O41" s="36">
        <f t="shared" si="14"/>
        <v>6.6019239877404434</v>
      </c>
      <c r="P41" s="36">
        <f t="shared" si="15"/>
        <v>0.80771085104436313</v>
      </c>
      <c r="Q41" s="36">
        <f t="shared" si="16"/>
        <v>3.6129132114025353</v>
      </c>
      <c r="R41" s="37">
        <f t="shared" si="6"/>
        <v>9.1859880653164137</v>
      </c>
      <c r="S41" s="39"/>
    </row>
    <row r="42" spans="1:19" s="2" customFormat="1" ht="12.75" customHeight="1" x14ac:dyDescent="0.25">
      <c r="A42" s="7" t="s">
        <v>31</v>
      </c>
      <c r="B42" s="33">
        <v>5396043</v>
      </c>
      <c r="C42" s="33">
        <v>15952826</v>
      </c>
      <c r="D42" s="33">
        <v>18136779</v>
      </c>
      <c r="E42" s="34">
        <v>24751955</v>
      </c>
      <c r="F42" s="34">
        <v>38922462</v>
      </c>
      <c r="G42" s="34">
        <v>37973883</v>
      </c>
      <c r="H42" s="34">
        <v>28671229</v>
      </c>
      <c r="I42" s="39"/>
      <c r="J42" s="39"/>
      <c r="K42" s="47" t="s">
        <v>31</v>
      </c>
      <c r="L42" s="36">
        <f t="shared" si="17"/>
        <v>195.63934164349689</v>
      </c>
      <c r="M42" s="36">
        <f t="shared" si="18"/>
        <v>13.690069709279108</v>
      </c>
      <c r="N42" s="36">
        <f t="shared" si="13"/>
        <v>36.473819303857645</v>
      </c>
      <c r="O42" s="36">
        <f t="shared" si="14"/>
        <v>57.250051561583717</v>
      </c>
      <c r="P42" s="36">
        <f t="shared" si="15"/>
        <v>-2.4370991742505899</v>
      </c>
      <c r="Q42" s="36">
        <f t="shared" si="16"/>
        <v>-24.497505298575859</v>
      </c>
      <c r="R42" s="37">
        <f t="shared" si="6"/>
        <v>46.019779624231823</v>
      </c>
      <c r="S42" s="39"/>
    </row>
    <row r="43" spans="1:19" ht="14.25" customHeight="1" x14ac:dyDescent="0.25">
      <c r="A43" s="6" t="s">
        <v>29</v>
      </c>
      <c r="B43" s="33">
        <v>732984102</v>
      </c>
      <c r="C43" s="33">
        <v>1435510331</v>
      </c>
      <c r="D43" s="33">
        <v>2283843793</v>
      </c>
      <c r="E43" s="34">
        <v>1452299679</v>
      </c>
      <c r="F43" s="34">
        <v>2171825949</v>
      </c>
      <c r="G43" s="34">
        <v>4147797486</v>
      </c>
      <c r="H43" s="34">
        <v>5523393904</v>
      </c>
      <c r="K43" s="42" t="s">
        <v>29</v>
      </c>
      <c r="L43" s="36">
        <f t="shared" si="17"/>
        <v>95.844674813970258</v>
      </c>
      <c r="M43" s="36">
        <f t="shared" si="18"/>
        <v>59.096297928349784</v>
      </c>
      <c r="N43" s="36">
        <f t="shared" si="13"/>
        <v>-36.409850645157505</v>
      </c>
      <c r="O43" s="36">
        <f t="shared" si="14"/>
        <v>49.543925431109329</v>
      </c>
      <c r="P43" s="36">
        <f t="shared" si="15"/>
        <v>90.982039233384256</v>
      </c>
      <c r="Q43" s="36">
        <f t="shared" si="16"/>
        <v>33.164502911316916</v>
      </c>
      <c r="R43" s="37">
        <f t="shared" si="6"/>
        <v>48.703598278828842</v>
      </c>
    </row>
    <row r="44" spans="1:19" ht="17.25" customHeight="1" x14ac:dyDescent="0.25">
      <c r="A44" s="17" t="s">
        <v>22</v>
      </c>
      <c r="B44" s="27">
        <f t="shared" ref="B44:H44" si="21">B43+B34+B8</f>
        <v>6038822842</v>
      </c>
      <c r="C44" s="27">
        <f t="shared" si="21"/>
        <v>13578491961</v>
      </c>
      <c r="D44" s="27">
        <f t="shared" si="21"/>
        <v>14765347488</v>
      </c>
      <c r="E44" s="27">
        <f t="shared" si="21"/>
        <v>14382792077.799999</v>
      </c>
      <c r="F44" s="27">
        <f t="shared" si="21"/>
        <v>16421840420</v>
      </c>
      <c r="G44" s="27">
        <f t="shared" si="21"/>
        <v>19479194496</v>
      </c>
      <c r="H44" s="27">
        <f t="shared" si="21"/>
        <v>21067510438</v>
      </c>
      <c r="I44" s="48"/>
      <c r="K44" s="17" t="s">
        <v>22</v>
      </c>
      <c r="L44" s="43">
        <f t="shared" si="17"/>
        <v>124.85329204495979</v>
      </c>
      <c r="M44" s="43">
        <f t="shared" si="18"/>
        <v>8.7407020632988885</v>
      </c>
      <c r="N44" s="43">
        <f t="shared" si="13"/>
        <v>-2.590900149901032</v>
      </c>
      <c r="O44" s="43">
        <f t="shared" si="14"/>
        <v>14.176999369595933</v>
      </c>
      <c r="P44" s="43">
        <f t="shared" si="15"/>
        <v>18.617609219222953</v>
      </c>
      <c r="Q44" s="43">
        <f>+((H44/G44)-1)*100</f>
        <v>8.1539097642161487</v>
      </c>
      <c r="R44" s="43">
        <f t="shared" si="6"/>
        <v>28.658602051898772</v>
      </c>
    </row>
    <row r="45" spans="1:19" ht="11.25" customHeight="1" x14ac:dyDescent="0.25">
      <c r="A45" s="11" t="s">
        <v>27</v>
      </c>
      <c r="B45" s="5"/>
      <c r="C45" s="13"/>
      <c r="D45" s="13"/>
      <c r="E45" s="13"/>
      <c r="F45" s="13"/>
      <c r="G45" s="13"/>
      <c r="H45" s="13"/>
      <c r="K45" s="13"/>
      <c r="L45" s="13"/>
      <c r="M45" s="13"/>
      <c r="N45" s="13"/>
      <c r="O45" s="13"/>
      <c r="P45" s="13"/>
      <c r="Q45" s="13"/>
      <c r="R45" s="13"/>
    </row>
    <row r="46" spans="1:19" s="3" customFormat="1" ht="12" customHeight="1" x14ac:dyDescent="0.2">
      <c r="A46" s="8" t="s">
        <v>28</v>
      </c>
      <c r="B46" s="9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ht="13.5" customHeight="1" x14ac:dyDescent="0.25">
      <c r="A47" s="5" t="s">
        <v>42</v>
      </c>
      <c r="B47" s="10"/>
      <c r="C47" s="13"/>
      <c r="D47" s="13"/>
      <c r="E47" s="13"/>
      <c r="F47" s="13"/>
      <c r="G47" s="13"/>
      <c r="H47" s="13"/>
      <c r="K47" s="13"/>
      <c r="L47" s="13"/>
      <c r="M47" s="13"/>
      <c r="N47" s="13"/>
      <c r="O47" s="13"/>
      <c r="P47" s="13"/>
      <c r="Q47" s="13"/>
      <c r="R47" s="13"/>
    </row>
    <row r="48" spans="1:19" x14ac:dyDescent="0.25">
      <c r="C48" s="13"/>
      <c r="D48" s="13"/>
      <c r="E48" s="13"/>
      <c r="F48" s="13"/>
      <c r="G48" s="13"/>
      <c r="H48" s="13"/>
      <c r="K48" s="13"/>
      <c r="L48" s="13"/>
      <c r="M48" s="13"/>
      <c r="N48" s="13"/>
      <c r="O48" s="13"/>
      <c r="P48" s="13"/>
      <c r="Q48" s="13"/>
      <c r="R48" s="13"/>
    </row>
    <row r="49" spans="5:5" x14ac:dyDescent="0.25">
      <c r="E49" s="20"/>
    </row>
  </sheetData>
  <mergeCells count="8">
    <mergeCell ref="K5:R5"/>
    <mergeCell ref="A2:H2"/>
    <mergeCell ref="A3:H3"/>
    <mergeCell ref="A4:H4"/>
    <mergeCell ref="A5:B5"/>
    <mergeCell ref="K2:R2"/>
    <mergeCell ref="K3:R3"/>
    <mergeCell ref="K4:R4"/>
  </mergeCells>
  <pageMargins left="0.15748031496062992" right="0.15748031496062992" top="0.74803149606299213" bottom="0.74803149606299213" header="0.31496062992125984" footer="0.31496062992125984"/>
  <pageSetup paperSize="5" scale="8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6"/>
  <sheetViews>
    <sheetView tabSelected="1" topLeftCell="A103" zoomScaleNormal="100" workbookViewId="0">
      <selection activeCell="H105" sqref="H105:I105"/>
    </sheetView>
  </sheetViews>
  <sheetFormatPr baseColWidth="10" defaultColWidth="12.5703125" defaultRowHeight="15.75" x14ac:dyDescent="0.25"/>
  <cols>
    <col min="1" max="1" width="26" style="55" customWidth="1"/>
    <col min="2" max="2" width="15.7109375" style="55" customWidth="1"/>
    <col min="3" max="4" width="14.7109375" style="55" customWidth="1"/>
    <col min="5" max="5" width="14.140625" style="55" customWidth="1"/>
    <col min="6" max="6" width="14.42578125" style="55" customWidth="1"/>
    <col min="7" max="7" width="14.7109375" style="55" customWidth="1"/>
    <col min="8" max="8" width="15.42578125" style="55" customWidth="1"/>
    <col min="9" max="9" width="15.28515625" style="55" customWidth="1"/>
    <col min="10" max="11" width="14.85546875" style="55" customWidth="1"/>
    <col min="12" max="12" width="14.7109375" style="54" customWidth="1"/>
    <col min="13" max="13" width="14.5703125" style="54" customWidth="1"/>
    <col min="14" max="14" width="14.42578125" style="54" customWidth="1"/>
    <col min="15" max="15" width="15.140625" style="55" customWidth="1"/>
    <col min="16" max="16" width="14.85546875" style="55" customWidth="1"/>
    <col min="17" max="19" width="15.140625" style="54" customWidth="1"/>
    <col min="20" max="20" width="15.28515625" style="55" customWidth="1"/>
    <col min="21" max="21" width="11.7109375" style="55" customWidth="1"/>
    <col min="22" max="16384" width="12.5703125" style="55"/>
  </cols>
  <sheetData>
    <row r="1" spans="1:25" ht="8.25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O1" s="54"/>
      <c r="P1" s="54"/>
    </row>
    <row r="2" spans="1:2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O2" s="54"/>
      <c r="P2" s="54"/>
    </row>
    <row r="3" spans="1:25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O3" s="54"/>
      <c r="P3" s="54"/>
    </row>
    <row r="4" spans="1:25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O4" s="54"/>
      <c r="P4" s="54"/>
      <c r="T4" s="84"/>
    </row>
    <row r="5" spans="1:25" x14ac:dyDescent="0.25">
      <c r="A5" s="136" t="s">
        <v>56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05"/>
      <c r="M5" s="105"/>
      <c r="N5" s="105"/>
      <c r="O5" s="105"/>
      <c r="P5" s="105"/>
      <c r="Q5" s="105"/>
      <c r="R5" s="105"/>
      <c r="S5" s="105"/>
      <c r="T5" s="105"/>
    </row>
    <row r="6" spans="1:25" x14ac:dyDescent="0.25">
      <c r="A6" s="135" t="s">
        <v>57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06"/>
      <c r="M6" s="106"/>
      <c r="N6" s="106"/>
      <c r="O6" s="106"/>
      <c r="P6" s="106"/>
      <c r="Q6" s="106"/>
      <c r="R6" s="106"/>
      <c r="S6" s="106"/>
      <c r="T6" s="106"/>
    </row>
    <row r="7" spans="1:25" x14ac:dyDescent="0.25">
      <c r="A7" s="135" t="s">
        <v>70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06"/>
      <c r="M7" s="106"/>
      <c r="N7" s="106"/>
      <c r="O7" s="106"/>
      <c r="P7" s="106"/>
      <c r="Q7" s="106"/>
      <c r="R7" s="106"/>
      <c r="S7" s="106"/>
      <c r="T7" s="106"/>
    </row>
    <row r="8" spans="1:25" x14ac:dyDescent="0.25">
      <c r="A8" s="134" t="s">
        <v>54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07"/>
      <c r="M8" s="107"/>
      <c r="N8" s="107"/>
      <c r="O8" s="107"/>
      <c r="P8" s="107"/>
      <c r="Q8" s="107"/>
      <c r="R8" s="107"/>
      <c r="S8" s="107"/>
      <c r="T8" s="107"/>
    </row>
    <row r="9" spans="1:25" ht="13.5" customHeight="1" x14ac:dyDescent="0.25">
      <c r="A9" s="76" t="s">
        <v>55</v>
      </c>
      <c r="B9" s="76">
        <v>2003</v>
      </c>
      <c r="C9" s="76">
        <v>2004</v>
      </c>
      <c r="D9" s="76">
        <v>2005</v>
      </c>
      <c r="E9" s="76">
        <v>2006</v>
      </c>
      <c r="F9" s="76">
        <v>2007</v>
      </c>
      <c r="G9" s="76">
        <v>2008</v>
      </c>
      <c r="H9" s="76">
        <v>2009</v>
      </c>
      <c r="I9" s="76">
        <v>2010</v>
      </c>
      <c r="J9" s="76">
        <v>2011</v>
      </c>
      <c r="K9" s="76">
        <v>2012</v>
      </c>
    </row>
    <row r="10" spans="1:25" ht="9" customHeigh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25" x14ac:dyDescent="0.25">
      <c r="A11" s="78" t="s">
        <v>1</v>
      </c>
      <c r="B11" s="62">
        <f>SUM(B12:B36)</f>
        <v>1512576415</v>
      </c>
      <c r="C11" s="62">
        <f>SUM(C12:C36)</f>
        <v>2368523636</v>
      </c>
      <c r="D11" s="62">
        <f>SUM(D12:D36)</f>
        <v>2887595107</v>
      </c>
      <c r="E11" s="62">
        <f>SUM(E12:E36)</f>
        <v>3572078196</v>
      </c>
      <c r="F11" s="62">
        <f>SUM(F12:F36)</f>
        <v>4273012914</v>
      </c>
      <c r="G11" s="62">
        <v>5866529112</v>
      </c>
      <c r="H11" s="63">
        <f>SUM(H12:H36)</f>
        <v>5095509259</v>
      </c>
      <c r="I11" s="63">
        <v>4675713222</v>
      </c>
      <c r="J11" s="63">
        <f>SUM(J12:J36)</f>
        <v>4305070823</v>
      </c>
      <c r="K11" s="63">
        <f>SUM(K12:K36)</f>
        <v>3991678709</v>
      </c>
      <c r="U11" s="56"/>
      <c r="V11" s="56"/>
      <c r="W11" s="56"/>
      <c r="X11" s="57"/>
    </row>
    <row r="12" spans="1:25" x14ac:dyDescent="0.25">
      <c r="A12" s="79" t="s">
        <v>2</v>
      </c>
      <c r="B12" s="64">
        <v>791725953</v>
      </c>
      <c r="C12" s="64">
        <v>1400144553</v>
      </c>
      <c r="D12" s="65">
        <v>1783697298</v>
      </c>
      <c r="E12" s="65">
        <v>1841144033</v>
      </c>
      <c r="F12" s="65">
        <v>2261015686</v>
      </c>
      <c r="G12" s="65">
        <v>2759120842</v>
      </c>
      <c r="H12" s="66">
        <v>2924828837</v>
      </c>
      <c r="I12" s="65">
        <v>2609882453</v>
      </c>
      <c r="J12" s="65">
        <f>2072449980+303825554</f>
        <v>2376275534</v>
      </c>
      <c r="K12" s="67">
        <f>2027074021+213515327</f>
        <v>2240589348</v>
      </c>
      <c r="U12" s="57"/>
      <c r="V12" s="57"/>
      <c r="W12" s="57"/>
      <c r="X12" s="57"/>
      <c r="Y12" s="57"/>
    </row>
    <row r="13" spans="1:25" x14ac:dyDescent="0.25">
      <c r="A13" s="79" t="s">
        <v>3</v>
      </c>
      <c r="B13" s="64">
        <v>26198119</v>
      </c>
      <c r="C13" s="64">
        <v>46563053</v>
      </c>
      <c r="D13" s="65">
        <v>120205046</v>
      </c>
      <c r="E13" s="65">
        <v>169844905</v>
      </c>
      <c r="F13" s="65">
        <v>183337026</v>
      </c>
      <c r="G13" s="65">
        <v>172013985</v>
      </c>
      <c r="H13" s="66">
        <v>230019262</v>
      </c>
      <c r="I13" s="65">
        <v>191618697</v>
      </c>
      <c r="J13" s="65">
        <f>76807673+161098748</f>
        <v>237906421</v>
      </c>
      <c r="K13" s="67">
        <f>73362666+57056340</f>
        <v>130419006</v>
      </c>
      <c r="U13" s="57"/>
      <c r="V13" s="57"/>
      <c r="W13" s="57"/>
      <c r="X13" s="57"/>
      <c r="Y13" s="57"/>
    </row>
    <row r="14" spans="1:25" x14ac:dyDescent="0.25">
      <c r="A14" s="79" t="s">
        <v>4</v>
      </c>
      <c r="B14" s="64">
        <v>45578407</v>
      </c>
      <c r="C14" s="64">
        <v>56319894</v>
      </c>
      <c r="D14" s="65">
        <v>78725446</v>
      </c>
      <c r="E14" s="65">
        <v>91192631</v>
      </c>
      <c r="F14" s="65">
        <v>122390363</v>
      </c>
      <c r="G14" s="65">
        <v>200161823</v>
      </c>
      <c r="H14" s="66">
        <v>144828293</v>
      </c>
      <c r="I14" s="65">
        <v>118835520</v>
      </c>
      <c r="J14" s="65">
        <v>137192006</v>
      </c>
      <c r="K14" s="67">
        <v>164008190</v>
      </c>
      <c r="U14" s="57"/>
      <c r="V14" s="57"/>
      <c r="W14" s="57"/>
      <c r="X14" s="57"/>
      <c r="Y14" s="57"/>
    </row>
    <row r="15" spans="1:25" x14ac:dyDescent="0.25">
      <c r="A15" s="79" t="s">
        <v>5</v>
      </c>
      <c r="B15" s="64">
        <v>116307067</v>
      </c>
      <c r="C15" s="64">
        <v>77431248</v>
      </c>
      <c r="D15" s="65">
        <v>114382299</v>
      </c>
      <c r="E15" s="65">
        <v>136016840</v>
      </c>
      <c r="F15" s="65">
        <v>140782447</v>
      </c>
      <c r="G15" s="65">
        <v>176176285</v>
      </c>
      <c r="H15" s="66">
        <v>84289857</v>
      </c>
      <c r="I15" s="65">
        <v>68997788</v>
      </c>
      <c r="J15" s="65">
        <f>50627764+25000257</f>
        <v>75628021</v>
      </c>
      <c r="K15" s="67">
        <f>43522767+161850</f>
        <v>43684617</v>
      </c>
      <c r="U15" s="57"/>
      <c r="V15" s="57"/>
      <c r="W15" s="57"/>
      <c r="X15" s="57"/>
      <c r="Y15" s="57"/>
    </row>
    <row r="16" spans="1:25" x14ac:dyDescent="0.25">
      <c r="A16" s="79" t="s">
        <v>6</v>
      </c>
      <c r="B16" s="64">
        <v>9764010</v>
      </c>
      <c r="C16" s="64">
        <v>12298100</v>
      </c>
      <c r="D16" s="65">
        <v>19699584</v>
      </c>
      <c r="E16" s="65">
        <v>32496547</v>
      </c>
      <c r="F16" s="65">
        <v>58571534</v>
      </c>
      <c r="G16" s="65">
        <v>74503990</v>
      </c>
      <c r="H16" s="66">
        <v>71378875</v>
      </c>
      <c r="I16" s="65">
        <v>80263565</v>
      </c>
      <c r="J16" s="65">
        <f>73720311+18247261</f>
        <v>91967572</v>
      </c>
      <c r="K16" s="67">
        <f>90564740+16678111</f>
        <v>107242851</v>
      </c>
      <c r="U16" s="57"/>
      <c r="V16" s="57"/>
      <c r="W16" s="57"/>
      <c r="X16" s="57"/>
      <c r="Y16" s="57"/>
    </row>
    <row r="17" spans="1:25" x14ac:dyDescent="0.25">
      <c r="A17" s="79" t="s">
        <v>7</v>
      </c>
      <c r="B17" s="64">
        <v>4813480</v>
      </c>
      <c r="C17" s="64">
        <v>6999523</v>
      </c>
      <c r="D17" s="65">
        <v>6301635</v>
      </c>
      <c r="E17" s="65">
        <v>8921220</v>
      </c>
      <c r="F17" s="65">
        <v>5463908</v>
      </c>
      <c r="G17" s="65">
        <v>8838422</v>
      </c>
      <c r="H17" s="66">
        <v>4740229</v>
      </c>
      <c r="I17" s="65">
        <v>8998926</v>
      </c>
      <c r="J17" s="65">
        <f>7740203+1756820</f>
        <v>9497023</v>
      </c>
      <c r="K17" s="67">
        <f>4332023+406175</f>
        <v>4738198</v>
      </c>
      <c r="U17" s="57"/>
      <c r="V17" s="57"/>
      <c r="W17" s="57"/>
      <c r="X17" s="57"/>
      <c r="Y17" s="57"/>
    </row>
    <row r="18" spans="1:25" x14ac:dyDescent="0.25">
      <c r="A18" s="79" t="s">
        <v>8</v>
      </c>
      <c r="B18" s="64">
        <v>10934722</v>
      </c>
      <c r="C18" s="64">
        <v>16355942</v>
      </c>
      <c r="D18" s="65">
        <v>35535679</v>
      </c>
      <c r="E18" s="65">
        <v>26007932</v>
      </c>
      <c r="F18" s="65">
        <v>23955732</v>
      </c>
      <c r="G18" s="65">
        <v>49548265</v>
      </c>
      <c r="H18" s="66">
        <v>39718650</v>
      </c>
      <c r="I18" s="65">
        <v>26406846</v>
      </c>
      <c r="J18" s="65">
        <v>24605708</v>
      </c>
      <c r="K18" s="67">
        <v>33677510</v>
      </c>
      <c r="U18" s="57"/>
      <c r="V18" s="57"/>
      <c r="W18" s="57"/>
      <c r="X18" s="57"/>
      <c r="Y18" s="57"/>
    </row>
    <row r="19" spans="1:25" x14ac:dyDescent="0.25">
      <c r="A19" s="79" t="s">
        <v>9</v>
      </c>
      <c r="B19" s="64">
        <v>8342669</v>
      </c>
      <c r="C19" s="64">
        <v>9853728</v>
      </c>
      <c r="D19" s="65">
        <v>6489859</v>
      </c>
      <c r="E19" s="65">
        <v>11730616</v>
      </c>
      <c r="F19" s="65">
        <v>12524501</v>
      </c>
      <c r="G19" s="65">
        <v>15986900</v>
      </c>
      <c r="H19" s="66">
        <v>19258019</v>
      </c>
      <c r="I19" s="65">
        <v>15131492</v>
      </c>
      <c r="J19" s="65">
        <v>9424548</v>
      </c>
      <c r="K19" s="67">
        <v>6336902</v>
      </c>
      <c r="U19" s="57"/>
      <c r="V19" s="57"/>
      <c r="W19" s="57"/>
      <c r="X19" s="57"/>
      <c r="Y19" s="57"/>
    </row>
    <row r="20" spans="1:25" x14ac:dyDescent="0.25">
      <c r="A20" s="79" t="s">
        <v>10</v>
      </c>
      <c r="B20" s="64">
        <v>3562992</v>
      </c>
      <c r="C20" s="64">
        <v>4897795</v>
      </c>
      <c r="D20" s="65">
        <v>4910092</v>
      </c>
      <c r="E20" s="65">
        <v>8588519</v>
      </c>
      <c r="F20" s="65">
        <v>8735465</v>
      </c>
      <c r="G20" s="65">
        <v>7643788</v>
      </c>
      <c r="H20" s="66">
        <v>4611273</v>
      </c>
      <c r="I20" s="65">
        <v>4491521</v>
      </c>
      <c r="J20" s="65">
        <f>3721133+545000</f>
        <v>4266133</v>
      </c>
      <c r="K20" s="67">
        <f>4042044+549500</f>
        <v>4591544</v>
      </c>
      <c r="U20" s="57"/>
      <c r="V20" s="57"/>
      <c r="W20" s="57"/>
      <c r="X20" s="57"/>
      <c r="Y20" s="57"/>
    </row>
    <row r="21" spans="1:25" x14ac:dyDescent="0.25">
      <c r="A21" s="79" t="s">
        <v>11</v>
      </c>
      <c r="B21" s="64">
        <v>836400</v>
      </c>
      <c r="C21" s="64">
        <v>1782678</v>
      </c>
      <c r="D21" s="65">
        <v>3579346</v>
      </c>
      <c r="E21" s="65">
        <v>7375930</v>
      </c>
      <c r="F21" s="65">
        <v>6556365</v>
      </c>
      <c r="G21" s="65">
        <v>12553990</v>
      </c>
      <c r="H21" s="66">
        <v>6263860</v>
      </c>
      <c r="I21" s="65">
        <v>8580145</v>
      </c>
      <c r="J21" s="65">
        <f>4857460+719605</f>
        <v>5577065</v>
      </c>
      <c r="K21" s="67">
        <f>5972814+1391000</f>
        <v>7363814</v>
      </c>
      <c r="U21" s="57"/>
      <c r="V21" s="57"/>
      <c r="W21" s="57"/>
      <c r="X21" s="57"/>
      <c r="Y21" s="57"/>
    </row>
    <row r="22" spans="1:25" ht="16.5" customHeight="1" x14ac:dyDescent="0.25">
      <c r="A22" s="80" t="s">
        <v>12</v>
      </c>
      <c r="B22" s="64">
        <v>5871960</v>
      </c>
      <c r="C22" s="64">
        <v>15000</v>
      </c>
      <c r="D22" s="65">
        <v>100000</v>
      </c>
      <c r="E22" s="65">
        <v>138500</v>
      </c>
      <c r="F22" s="65">
        <v>348800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U22" s="57"/>
      <c r="V22" s="57"/>
      <c r="W22" s="57"/>
      <c r="X22" s="57"/>
      <c r="Y22" s="57"/>
    </row>
    <row r="23" spans="1:25" x14ac:dyDescent="0.25">
      <c r="A23" s="80" t="s">
        <v>13</v>
      </c>
      <c r="B23" s="64">
        <v>3211760</v>
      </c>
      <c r="C23" s="64">
        <v>3835330</v>
      </c>
      <c r="D23" s="65">
        <v>3869000</v>
      </c>
      <c r="E23" s="65">
        <v>6660978</v>
      </c>
      <c r="F23" s="65">
        <v>11407000</v>
      </c>
      <c r="G23" s="65">
        <v>12223000</v>
      </c>
      <c r="H23" s="66">
        <v>7972500</v>
      </c>
      <c r="I23" s="65">
        <v>10157991</v>
      </c>
      <c r="J23" s="65">
        <f>7985000+3275974</f>
        <v>11260974</v>
      </c>
      <c r="K23" s="67">
        <f>3584140+1253112</f>
        <v>4837252</v>
      </c>
      <c r="U23" s="57"/>
      <c r="V23" s="57"/>
      <c r="W23" s="57"/>
      <c r="X23" s="57"/>
      <c r="Y23" s="57"/>
    </row>
    <row r="24" spans="1:25" x14ac:dyDescent="0.25">
      <c r="A24" s="79" t="s">
        <v>14</v>
      </c>
      <c r="B24" s="64">
        <v>49958529</v>
      </c>
      <c r="C24" s="64">
        <v>78312758</v>
      </c>
      <c r="D24" s="65">
        <v>63764161</v>
      </c>
      <c r="E24" s="65">
        <v>83629272</v>
      </c>
      <c r="F24" s="65">
        <v>147042359</v>
      </c>
      <c r="G24" s="65">
        <v>152401618</v>
      </c>
      <c r="H24" s="66">
        <v>145676084</v>
      </c>
      <c r="I24" s="65">
        <v>146051585</v>
      </c>
      <c r="J24" s="65">
        <v>104369644</v>
      </c>
      <c r="K24" s="67">
        <v>73991246</v>
      </c>
      <c r="U24" s="57"/>
      <c r="V24" s="57"/>
      <c r="W24" s="57"/>
      <c r="X24" s="57"/>
      <c r="Y24" s="57"/>
    </row>
    <row r="25" spans="1:25" x14ac:dyDescent="0.25">
      <c r="A25" s="79" t="s">
        <v>15</v>
      </c>
      <c r="B25" s="64">
        <v>41618189</v>
      </c>
      <c r="C25" s="64">
        <v>92630757</v>
      </c>
      <c r="D25" s="65">
        <v>76796904</v>
      </c>
      <c r="E25" s="65">
        <v>111532030</v>
      </c>
      <c r="F25" s="65">
        <v>171141726</v>
      </c>
      <c r="G25" s="65">
        <v>233580040</v>
      </c>
      <c r="H25" s="66">
        <v>336410937</v>
      </c>
      <c r="I25" s="65">
        <v>214038359</v>
      </c>
      <c r="J25" s="65">
        <v>221503613</v>
      </c>
      <c r="K25" s="67">
        <v>158586164</v>
      </c>
      <c r="U25" s="57"/>
      <c r="V25" s="57"/>
      <c r="W25" s="57"/>
      <c r="X25" s="57"/>
      <c r="Y25" s="57"/>
    </row>
    <row r="26" spans="1:25" x14ac:dyDescent="0.25">
      <c r="A26" s="79" t="s">
        <v>16</v>
      </c>
      <c r="B26" s="64">
        <v>1730127</v>
      </c>
      <c r="C26" s="64">
        <v>1219600</v>
      </c>
      <c r="D26" s="65">
        <v>2505750</v>
      </c>
      <c r="E26" s="65">
        <v>2001000</v>
      </c>
      <c r="F26" s="65">
        <v>5273556</v>
      </c>
      <c r="G26" s="65">
        <v>1560800</v>
      </c>
      <c r="H26" s="66">
        <v>1756000</v>
      </c>
      <c r="I26" s="65">
        <v>135398</v>
      </c>
      <c r="J26" s="65">
        <v>2765436</v>
      </c>
      <c r="K26" s="67">
        <v>997974</v>
      </c>
      <c r="U26" s="57"/>
      <c r="V26" s="57"/>
      <c r="W26" s="57"/>
      <c r="X26" s="57"/>
      <c r="Y26" s="57"/>
    </row>
    <row r="27" spans="1:25" x14ac:dyDescent="0.25">
      <c r="A27" s="79" t="s">
        <v>41</v>
      </c>
      <c r="B27" s="64"/>
      <c r="C27" s="64"/>
      <c r="D27" s="65"/>
      <c r="E27" s="65"/>
      <c r="F27" s="65"/>
      <c r="G27" s="65"/>
      <c r="H27" s="66"/>
      <c r="I27" s="65">
        <v>96141567</v>
      </c>
      <c r="J27" s="65">
        <v>93657164</v>
      </c>
      <c r="K27" s="67">
        <v>67854600</v>
      </c>
      <c r="U27" s="57"/>
      <c r="V27" s="57"/>
      <c r="W27" s="57"/>
      <c r="X27" s="57"/>
      <c r="Y27" s="57"/>
    </row>
    <row r="28" spans="1:25" x14ac:dyDescent="0.25">
      <c r="A28" s="79" t="s">
        <v>18</v>
      </c>
      <c r="B28" s="64">
        <v>58296841</v>
      </c>
      <c r="C28" s="64">
        <v>43883540</v>
      </c>
      <c r="D28" s="65">
        <v>74302117</v>
      </c>
      <c r="E28" s="65">
        <v>167499323</v>
      </c>
      <c r="F28" s="65">
        <v>161441256</v>
      </c>
      <c r="G28" s="65">
        <v>175324190</v>
      </c>
      <c r="H28" s="66">
        <v>206913802</v>
      </c>
      <c r="I28" s="65">
        <v>207700215</v>
      </c>
      <c r="J28" s="65">
        <f>126494231+17585737</f>
        <v>144079968</v>
      </c>
      <c r="K28" s="67">
        <v>112429755</v>
      </c>
      <c r="U28" s="57"/>
      <c r="V28" s="57"/>
      <c r="W28" s="57"/>
      <c r="X28" s="57"/>
      <c r="Y28" s="57"/>
    </row>
    <row r="29" spans="1:25" x14ac:dyDescent="0.25">
      <c r="A29" s="79" t="s">
        <v>17</v>
      </c>
      <c r="B29" s="64">
        <v>4419205</v>
      </c>
      <c r="C29" s="64">
        <v>6984915</v>
      </c>
      <c r="D29" s="65">
        <v>10430825</v>
      </c>
      <c r="E29" s="65">
        <v>17937411</v>
      </c>
      <c r="F29" s="65">
        <v>26610796</v>
      </c>
      <c r="G29" s="65">
        <v>32498540</v>
      </c>
      <c r="H29" s="66">
        <v>31090779</v>
      </c>
      <c r="I29" s="65">
        <v>30481390</v>
      </c>
      <c r="J29" s="65">
        <v>32757600</v>
      </c>
      <c r="K29" s="67">
        <v>27823620</v>
      </c>
      <c r="U29" s="57"/>
      <c r="V29" s="57"/>
      <c r="W29" s="57"/>
      <c r="X29" s="57"/>
      <c r="Y29" s="57"/>
    </row>
    <row r="30" spans="1:25" x14ac:dyDescent="0.25">
      <c r="A30" s="108" t="s">
        <v>19</v>
      </c>
      <c r="B30" s="109">
        <v>2798915</v>
      </c>
      <c r="C30" s="109">
        <v>2285084</v>
      </c>
      <c r="D30" s="71">
        <v>3640667</v>
      </c>
      <c r="E30" s="71">
        <v>5213299</v>
      </c>
      <c r="F30" s="71">
        <v>3869790</v>
      </c>
      <c r="G30" s="71">
        <v>9589618</v>
      </c>
      <c r="H30" s="110">
        <v>3938250</v>
      </c>
      <c r="I30" s="71">
        <v>5832409</v>
      </c>
      <c r="J30" s="71">
        <v>6427697</v>
      </c>
      <c r="K30" s="67">
        <v>5333056</v>
      </c>
      <c r="U30" s="57"/>
      <c r="V30" s="57"/>
      <c r="W30" s="57"/>
      <c r="X30" s="57"/>
      <c r="Y30" s="57"/>
    </row>
    <row r="31" spans="1:25" x14ac:dyDescent="0.25">
      <c r="A31" s="108" t="s">
        <v>23</v>
      </c>
      <c r="B31" s="109">
        <v>8104367</v>
      </c>
      <c r="C31" s="109">
        <v>24920775</v>
      </c>
      <c r="D31" s="71">
        <v>41232976</v>
      </c>
      <c r="E31" s="71">
        <v>38343562</v>
      </c>
      <c r="F31" s="71">
        <v>63904488</v>
      </c>
      <c r="G31" s="71">
        <v>460812657</v>
      </c>
      <c r="H31" s="110">
        <v>69229307</v>
      </c>
      <c r="I31" s="71">
        <v>75847187</v>
      </c>
      <c r="J31" s="71">
        <v>60942254</v>
      </c>
      <c r="K31" s="67">
        <v>95559814</v>
      </c>
      <c r="U31" s="57"/>
      <c r="V31" s="57"/>
      <c r="W31" s="57"/>
      <c r="X31" s="57"/>
      <c r="Y31" s="57"/>
    </row>
    <row r="32" spans="1:25" x14ac:dyDescent="0.25">
      <c r="A32" s="108" t="s">
        <v>32</v>
      </c>
      <c r="B32" s="109">
        <v>0</v>
      </c>
      <c r="C32" s="109">
        <v>0</v>
      </c>
      <c r="D32" s="71">
        <v>0</v>
      </c>
      <c r="E32" s="71">
        <v>0</v>
      </c>
      <c r="F32" s="71">
        <v>0</v>
      </c>
      <c r="G32" s="111">
        <v>0</v>
      </c>
      <c r="H32" s="110">
        <v>0</v>
      </c>
      <c r="I32" s="71">
        <v>106683499</v>
      </c>
      <c r="J32" s="71">
        <v>96373947</v>
      </c>
      <c r="K32" s="67">
        <v>97240820</v>
      </c>
      <c r="U32" s="103"/>
      <c r="V32" s="104"/>
      <c r="W32" s="103"/>
      <c r="X32" s="103"/>
      <c r="Y32" s="103"/>
    </row>
    <row r="33" spans="1:25" x14ac:dyDescent="0.25">
      <c r="A33" s="108" t="s">
        <v>33</v>
      </c>
      <c r="B33" s="109">
        <v>0</v>
      </c>
      <c r="C33" s="109">
        <v>0</v>
      </c>
      <c r="D33" s="71">
        <v>0</v>
      </c>
      <c r="E33" s="71">
        <v>0</v>
      </c>
      <c r="F33" s="71">
        <v>0</v>
      </c>
      <c r="G33" s="111">
        <v>0</v>
      </c>
      <c r="H33" s="110">
        <v>0</v>
      </c>
      <c r="I33" s="71">
        <v>98300131</v>
      </c>
      <c r="J33" s="71">
        <v>102242848</v>
      </c>
      <c r="K33" s="67">
        <v>146977125</v>
      </c>
      <c r="U33" s="103"/>
      <c r="V33" s="104"/>
      <c r="W33" s="103"/>
      <c r="X33" s="103"/>
      <c r="Y33" s="103"/>
    </row>
    <row r="34" spans="1:25" x14ac:dyDescent="0.25">
      <c r="A34" s="108" t="s">
        <v>34</v>
      </c>
      <c r="B34" s="109">
        <v>0</v>
      </c>
      <c r="C34" s="109">
        <v>0</v>
      </c>
      <c r="D34" s="71">
        <v>0</v>
      </c>
      <c r="E34" s="71">
        <v>0</v>
      </c>
      <c r="F34" s="71">
        <v>0</v>
      </c>
      <c r="G34" s="111">
        <v>0</v>
      </c>
      <c r="H34" s="110">
        <v>0</v>
      </c>
      <c r="I34" s="71">
        <v>58850744</v>
      </c>
      <c r="J34" s="71">
        <v>58184627</v>
      </c>
      <c r="K34" s="67">
        <v>56777257</v>
      </c>
      <c r="U34" s="103"/>
      <c r="V34" s="104"/>
      <c r="W34" s="103"/>
      <c r="X34" s="103"/>
      <c r="Y34" s="103"/>
    </row>
    <row r="35" spans="1:25" x14ac:dyDescent="0.25">
      <c r="A35" s="108" t="s">
        <v>38</v>
      </c>
      <c r="B35" s="109">
        <v>0</v>
      </c>
      <c r="C35" s="109">
        <v>0</v>
      </c>
      <c r="D35" s="71">
        <v>0</v>
      </c>
      <c r="E35" s="71">
        <v>0</v>
      </c>
      <c r="F35" s="71">
        <v>0</v>
      </c>
      <c r="G35" s="111">
        <v>0</v>
      </c>
      <c r="H35" s="110">
        <v>0</v>
      </c>
      <c r="I35" s="110">
        <v>0</v>
      </c>
      <c r="J35" s="110">
        <v>0</v>
      </c>
      <c r="K35" s="110">
        <v>0</v>
      </c>
      <c r="U35" s="103"/>
      <c r="V35" s="103"/>
      <c r="W35" s="103"/>
      <c r="X35" s="103"/>
      <c r="Y35" s="103"/>
    </row>
    <row r="36" spans="1:25" x14ac:dyDescent="0.25">
      <c r="A36" s="108" t="s">
        <v>20</v>
      </c>
      <c r="B36" s="109">
        <v>318502703</v>
      </c>
      <c r="C36" s="109">
        <v>481789363</v>
      </c>
      <c r="D36" s="71">
        <v>437426423</v>
      </c>
      <c r="E36" s="71">
        <v>805803648</v>
      </c>
      <c r="F36" s="71">
        <v>858640116</v>
      </c>
      <c r="G36" s="71">
        <v>1311990359</v>
      </c>
      <c r="H36" s="110">
        <v>762584445</v>
      </c>
      <c r="I36" s="71">
        <v>492285794</v>
      </c>
      <c r="J36" s="71">
        <v>398165020</v>
      </c>
      <c r="K36" s="67">
        <v>400618046</v>
      </c>
      <c r="U36" s="57"/>
      <c r="V36" s="57"/>
      <c r="W36" s="57"/>
      <c r="X36" s="57"/>
      <c r="Y36" s="57"/>
    </row>
    <row r="37" spans="1:25" s="59" customFormat="1" x14ac:dyDescent="0.25">
      <c r="A37" s="78" t="s">
        <v>21</v>
      </c>
      <c r="B37" s="62">
        <f>B38+B42+B43+B44+B45</f>
        <v>399895575</v>
      </c>
      <c r="C37" s="62">
        <f>C38+C42+C43+C44+C45</f>
        <v>492283408</v>
      </c>
      <c r="D37" s="62">
        <f>D38+D42+D43+D44+D45</f>
        <v>769364759</v>
      </c>
      <c r="E37" s="62">
        <f>E38+E42+E43+E44+E45</f>
        <v>970128511</v>
      </c>
      <c r="F37" s="62">
        <f>F38+F42+F43+F44+F45</f>
        <v>1080130879</v>
      </c>
      <c r="G37" s="62">
        <f>SUM(G38+G42+G43+G44+G45)</f>
        <v>1523861034</v>
      </c>
      <c r="H37" s="63">
        <v>1318446501</v>
      </c>
      <c r="I37" s="63">
        <v>1460246878</v>
      </c>
      <c r="J37" s="63">
        <f t="shared" ref="J37:K37" si="0">J43+J42+J38+J44+J45</f>
        <v>1420024935</v>
      </c>
      <c r="K37" s="63">
        <f t="shared" si="0"/>
        <v>1314160031</v>
      </c>
      <c r="U37" s="58"/>
      <c r="V37" s="57"/>
      <c r="W37" s="57"/>
      <c r="X37" s="57"/>
      <c r="Y37" s="57"/>
    </row>
    <row r="38" spans="1:25" x14ac:dyDescent="0.25">
      <c r="A38" s="81" t="s">
        <v>58</v>
      </c>
      <c r="B38" s="74">
        <v>141492934</v>
      </c>
      <c r="C38" s="74">
        <f>C40+C39+C41</f>
        <v>293357520</v>
      </c>
      <c r="D38" s="74">
        <f>D40+D39+D41</f>
        <v>445197041</v>
      </c>
      <c r="E38" s="74">
        <f>E40+E39+E41</f>
        <v>536573604</v>
      </c>
      <c r="F38" s="74">
        <f>F39+F40+F41</f>
        <v>605914312</v>
      </c>
      <c r="G38" s="74">
        <f>SUM(G39+G40+G41)</f>
        <v>763454568</v>
      </c>
      <c r="H38" s="74">
        <f>SUM(H39:H41)</f>
        <v>643311677</v>
      </c>
      <c r="I38" s="74">
        <f>SUM(I39:I41)</f>
        <v>695724238</v>
      </c>
      <c r="J38" s="74">
        <f>J41+J40+J39</f>
        <v>661261666</v>
      </c>
      <c r="K38" s="85">
        <f t="shared" ref="K38" si="1">K41+K40+K39</f>
        <v>601781316</v>
      </c>
      <c r="U38" s="57"/>
      <c r="V38" s="57"/>
      <c r="W38" s="57"/>
      <c r="X38" s="57"/>
      <c r="Y38" s="57"/>
    </row>
    <row r="39" spans="1:25" x14ac:dyDescent="0.25">
      <c r="A39" s="82" t="s">
        <v>25</v>
      </c>
      <c r="B39" s="65">
        <v>23656018</v>
      </c>
      <c r="C39" s="65">
        <v>99671199</v>
      </c>
      <c r="D39" s="65">
        <v>177693659</v>
      </c>
      <c r="E39" s="65">
        <v>213757724</v>
      </c>
      <c r="F39" s="65">
        <v>304934851</v>
      </c>
      <c r="G39" s="65">
        <v>345295648</v>
      </c>
      <c r="H39" s="65">
        <v>382972759</v>
      </c>
      <c r="I39" s="65">
        <v>421975122</v>
      </c>
      <c r="J39" s="65">
        <f>349116336+34830686</f>
        <v>383947022</v>
      </c>
      <c r="K39" s="67">
        <f>305741402+31887030</f>
        <v>337628432</v>
      </c>
      <c r="U39" s="57"/>
      <c r="V39" s="57"/>
      <c r="W39" s="57"/>
      <c r="X39" s="57"/>
      <c r="Y39" s="57"/>
    </row>
    <row r="40" spans="1:25" x14ac:dyDescent="0.25">
      <c r="A40" s="82" t="s">
        <v>24</v>
      </c>
      <c r="B40" s="65">
        <v>18459201</v>
      </c>
      <c r="C40" s="65">
        <v>84370211</v>
      </c>
      <c r="D40" s="65">
        <v>112457104</v>
      </c>
      <c r="E40" s="65">
        <v>103932339</v>
      </c>
      <c r="F40" s="65">
        <v>114011306</v>
      </c>
      <c r="G40" s="65">
        <v>157072146</v>
      </c>
      <c r="H40" s="65">
        <v>93335918</v>
      </c>
      <c r="I40" s="65">
        <v>87242599</v>
      </c>
      <c r="J40" s="65">
        <v>104878279</v>
      </c>
      <c r="K40" s="67">
        <v>54718381</v>
      </c>
      <c r="U40" s="92"/>
      <c r="V40" s="57"/>
      <c r="W40" s="57"/>
      <c r="X40" s="57"/>
      <c r="Y40" s="57"/>
    </row>
    <row r="41" spans="1:25" x14ac:dyDescent="0.25">
      <c r="A41" s="82" t="s">
        <v>26</v>
      </c>
      <c r="B41" s="65">
        <v>99377715</v>
      </c>
      <c r="C41" s="65">
        <v>109316110</v>
      </c>
      <c r="D41" s="65">
        <v>155046278</v>
      </c>
      <c r="E41" s="65">
        <v>218883541</v>
      </c>
      <c r="F41" s="65">
        <v>186968155</v>
      </c>
      <c r="G41" s="65">
        <v>261086774</v>
      </c>
      <c r="H41" s="65">
        <v>167003000</v>
      </c>
      <c r="I41" s="65">
        <v>186506517</v>
      </c>
      <c r="J41" s="65">
        <v>172436365</v>
      </c>
      <c r="K41" s="67">
        <v>209434503</v>
      </c>
      <c r="U41" s="57"/>
      <c r="V41" s="57"/>
      <c r="W41" s="57"/>
      <c r="X41" s="57"/>
      <c r="Y41" s="57"/>
    </row>
    <row r="42" spans="1:25" x14ac:dyDescent="0.25">
      <c r="A42" s="83" t="s">
        <v>35</v>
      </c>
      <c r="B42" s="65">
        <v>41236979</v>
      </c>
      <c r="C42" s="65">
        <v>65707159</v>
      </c>
      <c r="D42" s="65">
        <v>93753100</v>
      </c>
      <c r="E42" s="65">
        <v>137061431</v>
      </c>
      <c r="F42" s="65">
        <v>142400951</v>
      </c>
      <c r="G42" s="65">
        <v>131135612</v>
      </c>
      <c r="H42" s="65">
        <v>123457100</v>
      </c>
      <c r="I42" s="65">
        <v>155732508</v>
      </c>
      <c r="J42" s="65">
        <f>154358947+4049941</f>
        <v>158408888</v>
      </c>
      <c r="K42" s="67">
        <f>128481137+4201019</f>
        <v>132682156</v>
      </c>
      <c r="U42" s="57"/>
      <c r="V42" s="57"/>
      <c r="W42" s="57"/>
      <c r="X42" s="57"/>
      <c r="Y42" s="57"/>
    </row>
    <row r="43" spans="1:25" x14ac:dyDescent="0.25">
      <c r="A43" s="82" t="s">
        <v>36</v>
      </c>
      <c r="B43" s="65">
        <v>93439683</v>
      </c>
      <c r="C43" s="65">
        <v>14731682</v>
      </c>
      <c r="D43" s="65">
        <v>58122891</v>
      </c>
      <c r="E43" s="65">
        <v>94148757</v>
      </c>
      <c r="F43" s="65">
        <v>77105086</v>
      </c>
      <c r="G43" s="65">
        <v>165595134</v>
      </c>
      <c r="H43" s="65">
        <v>56017419</v>
      </c>
      <c r="I43" s="65">
        <v>98440849</v>
      </c>
      <c r="J43" s="65">
        <v>75158423</v>
      </c>
      <c r="K43" s="67">
        <f>96167399</f>
        <v>96167399</v>
      </c>
      <c r="U43" s="57"/>
      <c r="V43" s="57"/>
      <c r="W43" s="57"/>
      <c r="X43" s="57"/>
      <c r="Y43" s="57"/>
    </row>
    <row r="44" spans="1:25" x14ac:dyDescent="0.25">
      <c r="A44" s="83" t="s">
        <v>59</v>
      </c>
      <c r="B44" s="73">
        <v>120196761</v>
      </c>
      <c r="C44" s="73">
        <v>115578197</v>
      </c>
      <c r="D44" s="74">
        <v>166334727</v>
      </c>
      <c r="E44" s="74">
        <v>197898719</v>
      </c>
      <c r="F44" s="74">
        <v>246973030</v>
      </c>
      <c r="G44" s="74">
        <v>456417920</v>
      </c>
      <c r="H44" s="74">
        <v>492332305</v>
      </c>
      <c r="I44" s="74">
        <v>506434283</v>
      </c>
      <c r="J44" s="74">
        <v>520946720</v>
      </c>
      <c r="K44" s="74">
        <f>85746591+380183822+12202704</f>
        <v>478133117</v>
      </c>
      <c r="U44" s="56"/>
      <c r="V44" s="57"/>
      <c r="W44" s="57"/>
      <c r="X44" s="57"/>
      <c r="Y44" s="57"/>
    </row>
    <row r="45" spans="1:25" x14ac:dyDescent="0.25">
      <c r="A45" s="83" t="s">
        <v>60</v>
      </c>
      <c r="B45" s="73">
        <v>3529218</v>
      </c>
      <c r="C45" s="73">
        <v>2908850</v>
      </c>
      <c r="D45" s="74">
        <v>5957000</v>
      </c>
      <c r="E45" s="74">
        <v>4446000</v>
      </c>
      <c r="F45" s="74">
        <v>7737500</v>
      </c>
      <c r="G45" s="74">
        <v>7257800</v>
      </c>
      <c r="H45" s="74">
        <v>3328000</v>
      </c>
      <c r="I45" s="74">
        <v>3915000</v>
      </c>
      <c r="J45" s="74">
        <v>4249238</v>
      </c>
      <c r="K45" s="74">
        <v>5396043</v>
      </c>
      <c r="U45" s="56"/>
      <c r="V45" s="57"/>
      <c r="W45" s="57"/>
      <c r="X45" s="57"/>
      <c r="Y45" s="57"/>
    </row>
    <row r="46" spans="1:25" x14ac:dyDescent="0.25">
      <c r="A46" s="82" t="s">
        <v>61</v>
      </c>
      <c r="B46" s="64">
        <v>94570138</v>
      </c>
      <c r="C46" s="64">
        <v>276524239</v>
      </c>
      <c r="D46" s="64">
        <v>437380349</v>
      </c>
      <c r="E46" s="64">
        <v>588867433</v>
      </c>
      <c r="F46" s="64">
        <v>712482726</v>
      </c>
      <c r="G46" s="65">
        <v>811651061</v>
      </c>
      <c r="H46" s="65">
        <v>754100025</v>
      </c>
      <c r="I46" s="65">
        <v>754611354</v>
      </c>
      <c r="J46" s="65">
        <v>762470530</v>
      </c>
      <c r="K46" s="65">
        <v>732984102</v>
      </c>
      <c r="U46" s="56"/>
      <c r="V46" s="57"/>
      <c r="W46" s="57"/>
      <c r="X46" s="57"/>
      <c r="Y46" s="57"/>
    </row>
    <row r="47" spans="1:25" s="54" customFormat="1" x14ac:dyDescent="0.25">
      <c r="A47" s="86" t="s">
        <v>22</v>
      </c>
      <c r="B47" s="87">
        <f>B11+B37+B46</f>
        <v>2007042128</v>
      </c>
      <c r="C47" s="87">
        <f>C11+C37+C46</f>
        <v>3137331283</v>
      </c>
      <c r="D47" s="87">
        <f>D11+D37+D46</f>
        <v>4094340215</v>
      </c>
      <c r="E47" s="87">
        <f>E11+E37+E46</f>
        <v>5131074140</v>
      </c>
      <c r="F47" s="87">
        <f>F11+F37+F46</f>
        <v>6065626519</v>
      </c>
      <c r="G47" s="87">
        <f>SUM(G11+G37+G46)</f>
        <v>8202041207</v>
      </c>
      <c r="H47" s="88">
        <v>7168055785</v>
      </c>
      <c r="I47" s="87">
        <v>6890571454</v>
      </c>
      <c r="J47" s="87">
        <f t="shared" ref="J47:K47" si="2">J46+J37+J11</f>
        <v>6487566288</v>
      </c>
      <c r="K47" s="87">
        <f t="shared" si="2"/>
        <v>6038822842</v>
      </c>
      <c r="U47" s="60"/>
      <c r="V47" s="57"/>
      <c r="W47" s="57"/>
      <c r="X47" s="57"/>
      <c r="Y47" s="57"/>
    </row>
    <row r="48" spans="1:25" s="54" customFormat="1" ht="5.25" customHeight="1" x14ac:dyDescent="0.25">
      <c r="A48" s="89"/>
      <c r="B48" s="90"/>
      <c r="C48" s="90"/>
      <c r="D48" s="90"/>
      <c r="E48" s="90"/>
      <c r="F48" s="90"/>
      <c r="G48" s="90"/>
      <c r="H48" s="91"/>
      <c r="I48" s="90"/>
      <c r="J48" s="90"/>
      <c r="K48" s="90"/>
      <c r="U48" s="60"/>
      <c r="V48" s="60"/>
      <c r="W48" s="60"/>
      <c r="X48" s="61"/>
    </row>
    <row r="49" spans="1:20" s="98" customFormat="1" ht="12.75" x14ac:dyDescent="0.2">
      <c r="A49" s="116" t="s">
        <v>63</v>
      </c>
      <c r="B49" s="117"/>
      <c r="C49" s="117"/>
      <c r="D49" s="117"/>
      <c r="E49" s="118"/>
      <c r="F49" s="119"/>
      <c r="G49" s="120"/>
      <c r="H49" s="94"/>
      <c r="I49" s="93"/>
      <c r="J49" s="95"/>
      <c r="K49" s="95"/>
      <c r="L49" s="96"/>
      <c r="M49" s="96"/>
      <c r="N49" s="96"/>
    </row>
    <row r="50" spans="1:20" s="101" customFormat="1" ht="12.75" x14ac:dyDescent="0.2">
      <c r="A50" s="121" t="s">
        <v>68</v>
      </c>
      <c r="B50" s="121"/>
      <c r="C50" s="121"/>
      <c r="D50" s="121"/>
      <c r="E50" s="122"/>
      <c r="F50" s="121"/>
      <c r="G50" s="123"/>
      <c r="H50" s="94"/>
      <c r="I50" s="99"/>
      <c r="J50" s="99"/>
      <c r="K50" s="99"/>
      <c r="L50" s="100"/>
      <c r="M50" s="100"/>
      <c r="N50" s="100"/>
      <c r="O50" s="100"/>
      <c r="P50" s="100"/>
      <c r="Q50" s="100"/>
      <c r="R50" s="100"/>
      <c r="S50" s="100"/>
    </row>
    <row r="51" spans="1:20" s="100" customFormat="1" ht="12.75" x14ac:dyDescent="0.2">
      <c r="A51" s="115" t="s">
        <v>62</v>
      </c>
      <c r="B51" s="115"/>
      <c r="C51" s="115"/>
      <c r="D51" s="115"/>
      <c r="E51" s="115"/>
      <c r="F51" s="115"/>
      <c r="G51" s="115"/>
    </row>
    <row r="52" spans="1:20" s="54" customFormat="1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3"/>
      <c r="N52" s="52"/>
      <c r="O52" s="52"/>
    </row>
    <row r="53" spans="1:20" s="54" customFormat="1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3"/>
      <c r="N53" s="52"/>
      <c r="O53" s="52"/>
    </row>
    <row r="54" spans="1:20" s="54" customFormat="1" x14ac:dyDescent="0.25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3"/>
      <c r="N54" s="52"/>
      <c r="O54" s="52"/>
    </row>
    <row r="55" spans="1:20" s="54" customFormat="1" x14ac:dyDescent="0.25">
      <c r="Q55" s="102"/>
      <c r="R55" s="102"/>
      <c r="S55" s="102"/>
      <c r="T55" s="102"/>
    </row>
    <row r="56" spans="1:20" x14ac:dyDescent="0.25">
      <c r="A56" s="136" t="s">
        <v>56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</row>
    <row r="57" spans="1:20" x14ac:dyDescent="0.25">
      <c r="A57" s="135" t="s">
        <v>57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</row>
    <row r="58" spans="1:20" x14ac:dyDescent="0.25">
      <c r="A58" s="135" t="s">
        <v>70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</row>
    <row r="59" spans="1:20" x14ac:dyDescent="0.25">
      <c r="A59" s="134" t="s">
        <v>54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</row>
    <row r="60" spans="1:20" x14ac:dyDescent="0.25">
      <c r="A60" s="76" t="s">
        <v>55</v>
      </c>
      <c r="B60" s="76">
        <v>2013</v>
      </c>
      <c r="C60" s="76">
        <v>2014</v>
      </c>
      <c r="D60" s="76">
        <v>2015</v>
      </c>
      <c r="E60" s="76">
        <v>2016</v>
      </c>
      <c r="F60" s="76">
        <v>2017</v>
      </c>
      <c r="G60" s="76">
        <v>2018</v>
      </c>
      <c r="H60" s="76">
        <v>2019</v>
      </c>
      <c r="I60" s="76">
        <v>2020</v>
      </c>
      <c r="J60" s="76">
        <v>2021</v>
      </c>
      <c r="K60" s="76">
        <v>2022</v>
      </c>
      <c r="Q60" s="55"/>
      <c r="T60" s="54"/>
    </row>
    <row r="61" spans="1:20" x14ac:dyDescent="0.2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Q61" s="55"/>
      <c r="T61" s="54"/>
    </row>
    <row r="62" spans="1:20" x14ac:dyDescent="0.25">
      <c r="A62" s="78" t="s">
        <v>1</v>
      </c>
      <c r="B62" s="63">
        <f>SUM(B63:B87)</f>
        <v>9334751074</v>
      </c>
      <c r="C62" s="63">
        <f>SUM(C63:C87)</f>
        <v>9660812394</v>
      </c>
      <c r="D62" s="63">
        <f t="shared" ref="D62:J62" si="3">+SUM(D63:D87)</f>
        <v>9655366419.3999996</v>
      </c>
      <c r="E62" s="63">
        <f t="shared" si="3"/>
        <v>10654771736</v>
      </c>
      <c r="F62" s="63">
        <f t="shared" si="3"/>
        <v>11655427583</v>
      </c>
      <c r="G62" s="63">
        <f t="shared" si="3"/>
        <v>12314151004</v>
      </c>
      <c r="H62" s="63">
        <f t="shared" si="3"/>
        <v>13234860537</v>
      </c>
      <c r="I62" s="63">
        <f t="shared" si="3"/>
        <v>10216923943.6</v>
      </c>
      <c r="J62" s="63">
        <f t="shared" si="3"/>
        <v>20592431974.299999</v>
      </c>
      <c r="K62" s="63">
        <f>+SUM(K63:K87)</f>
        <v>21652311686.950005</v>
      </c>
      <c r="Q62" s="55"/>
      <c r="T62" s="54"/>
    </row>
    <row r="63" spans="1:20" s="54" customFormat="1" x14ac:dyDescent="0.25">
      <c r="A63" s="80" t="s">
        <v>2</v>
      </c>
      <c r="B63" s="67">
        <f>3126048092+1076355719</f>
        <v>4202403811</v>
      </c>
      <c r="C63" s="67">
        <f>3150517578+1351669450</f>
        <v>4502187028</v>
      </c>
      <c r="D63" s="67">
        <v>3676886086</v>
      </c>
      <c r="E63" s="67">
        <v>4313336197</v>
      </c>
      <c r="F63" s="68">
        <f>2944311965+1399434932</f>
        <v>4343746897</v>
      </c>
      <c r="G63" s="69">
        <v>4751537017</v>
      </c>
      <c r="H63" s="69">
        <v>4893869972</v>
      </c>
      <c r="I63" s="69">
        <f>2630366914+1509871285.6</f>
        <v>4140238199.5999999</v>
      </c>
      <c r="J63" s="69">
        <f>3204338484+2941369774.3</f>
        <v>6145708258.3000002</v>
      </c>
      <c r="K63" s="69">
        <v>8254626367.1999989</v>
      </c>
    </row>
    <row r="64" spans="1:20" s="54" customFormat="1" x14ac:dyDescent="0.25">
      <c r="A64" s="80" t="s">
        <v>3</v>
      </c>
      <c r="B64" s="67">
        <f>74707035+60200000</f>
        <v>134907035</v>
      </c>
      <c r="C64" s="67">
        <f>102208480+13203000</f>
        <v>115411480</v>
      </c>
      <c r="D64" s="67">
        <v>164451720</v>
      </c>
      <c r="E64" s="67">
        <v>236987823</v>
      </c>
      <c r="F64" s="68">
        <f>148987506+52232419</f>
        <v>201219925</v>
      </c>
      <c r="G64" s="68">
        <v>210828571</v>
      </c>
      <c r="H64" s="68">
        <v>202047030</v>
      </c>
      <c r="I64" s="68">
        <f>116226152+25380800</f>
        <v>141606952</v>
      </c>
      <c r="J64" s="68">
        <f>343797679+33104500</f>
        <v>376902179</v>
      </c>
      <c r="K64" s="69">
        <v>293998246.60000002</v>
      </c>
    </row>
    <row r="65" spans="1:11" s="54" customFormat="1" x14ac:dyDescent="0.25">
      <c r="A65" s="80" t="s">
        <v>4</v>
      </c>
      <c r="B65" s="67">
        <v>317049133</v>
      </c>
      <c r="C65" s="67">
        <v>364458039</v>
      </c>
      <c r="D65" s="67">
        <v>391465991</v>
      </c>
      <c r="E65" s="67">
        <v>431125833</v>
      </c>
      <c r="F65" s="68">
        <v>345430313</v>
      </c>
      <c r="G65" s="68">
        <v>299343494</v>
      </c>
      <c r="H65" s="68">
        <v>348732358</v>
      </c>
      <c r="I65" s="68">
        <v>346772194</v>
      </c>
      <c r="J65" s="68">
        <v>523174295</v>
      </c>
      <c r="K65" s="69">
        <v>540126886.51999998</v>
      </c>
    </row>
    <row r="66" spans="1:11" s="54" customFormat="1" x14ac:dyDescent="0.25">
      <c r="A66" s="80" t="s">
        <v>5</v>
      </c>
      <c r="B66" s="67">
        <f>148492690+49787575</f>
        <v>198280265</v>
      </c>
      <c r="C66" s="67">
        <f>166127574+398682860</f>
        <v>564810434</v>
      </c>
      <c r="D66" s="67">
        <v>267152387</v>
      </c>
      <c r="E66" s="67">
        <v>358489816</v>
      </c>
      <c r="F66" s="68">
        <f>43426727+240000000</f>
        <v>283426727</v>
      </c>
      <c r="G66" s="68">
        <v>53076714</v>
      </c>
      <c r="H66" s="68">
        <v>156807442</v>
      </c>
      <c r="I66" s="68">
        <f>61034432+71443368</f>
        <v>132477800</v>
      </c>
      <c r="J66" s="68">
        <f>56318682+190001368</f>
        <v>246320050</v>
      </c>
      <c r="K66" s="69">
        <v>148380353.17000002</v>
      </c>
    </row>
    <row r="67" spans="1:11" s="54" customFormat="1" x14ac:dyDescent="0.25">
      <c r="A67" s="80" t="s">
        <v>6</v>
      </c>
      <c r="B67" s="67">
        <f>170091818+414359578</f>
        <v>584451396</v>
      </c>
      <c r="C67" s="67">
        <f>210986391+503244731</f>
        <v>714231122</v>
      </c>
      <c r="D67" s="67">
        <v>619135320</v>
      </c>
      <c r="E67" s="67">
        <v>1147685125</v>
      </c>
      <c r="F67" s="68">
        <f>528191125+585951169</f>
        <v>1114142294</v>
      </c>
      <c r="G67" s="68">
        <v>1262629747</v>
      </c>
      <c r="H67" s="68">
        <v>1276334008</v>
      </c>
      <c r="I67" s="68">
        <f>523708554+609275967</f>
        <v>1132984521</v>
      </c>
      <c r="J67" s="68">
        <f>1094226965+1200067342</f>
        <v>2294294307</v>
      </c>
      <c r="K67" s="69">
        <v>2696298902.75</v>
      </c>
    </row>
    <row r="68" spans="1:11" s="54" customFormat="1" x14ac:dyDescent="0.25">
      <c r="A68" s="80" t="s">
        <v>7</v>
      </c>
      <c r="B68" s="67">
        <f>8489163+500000</f>
        <v>8989163</v>
      </c>
      <c r="C68" s="67">
        <f>13659091+23447032</f>
        <v>37106123</v>
      </c>
      <c r="D68" s="67">
        <v>35011291</v>
      </c>
      <c r="E68" s="67">
        <v>20687152</v>
      </c>
      <c r="F68" s="68">
        <v>7243781</v>
      </c>
      <c r="G68" s="68">
        <v>7587661</v>
      </c>
      <c r="H68" s="68">
        <v>6646353</v>
      </c>
      <c r="I68" s="68">
        <v>5513868</v>
      </c>
      <c r="J68" s="68">
        <f>10002168+2200000</f>
        <v>12202168</v>
      </c>
      <c r="K68" s="69">
        <v>25447644.100000001</v>
      </c>
    </row>
    <row r="69" spans="1:11" s="54" customFormat="1" x14ac:dyDescent="0.25">
      <c r="A69" s="80" t="s">
        <v>8</v>
      </c>
      <c r="B69" s="67">
        <f>94991289</f>
        <v>94991289</v>
      </c>
      <c r="C69" s="67">
        <v>59588920</v>
      </c>
      <c r="D69" s="67">
        <v>56503148</v>
      </c>
      <c r="E69" s="67">
        <v>83567023</v>
      </c>
      <c r="F69" s="68">
        <v>43480145</v>
      </c>
      <c r="G69" s="68">
        <v>58050773</v>
      </c>
      <c r="H69" s="68">
        <v>70908506</v>
      </c>
      <c r="I69" s="68">
        <v>57432311</v>
      </c>
      <c r="J69" s="68">
        <v>45864200</v>
      </c>
      <c r="K69" s="69">
        <v>91770624.080000013</v>
      </c>
    </row>
    <row r="70" spans="1:11" s="54" customFormat="1" x14ac:dyDescent="0.25">
      <c r="A70" s="80" t="s">
        <v>9</v>
      </c>
      <c r="B70" s="67">
        <f>10653539</f>
        <v>10653539</v>
      </c>
      <c r="C70" s="67">
        <v>21083835</v>
      </c>
      <c r="D70" s="67">
        <v>62766027</v>
      </c>
      <c r="E70" s="67">
        <v>41193488</v>
      </c>
      <c r="F70" s="68">
        <v>41266184</v>
      </c>
      <c r="G70" s="68">
        <v>26979833</v>
      </c>
      <c r="H70" s="68">
        <v>23872339</v>
      </c>
      <c r="I70" s="68">
        <v>29258488</v>
      </c>
      <c r="J70" s="68">
        <v>35405867</v>
      </c>
      <c r="K70" s="69">
        <v>64811037.530000001</v>
      </c>
    </row>
    <row r="71" spans="1:11" s="54" customFormat="1" x14ac:dyDescent="0.25">
      <c r="A71" s="80" t="s">
        <v>10</v>
      </c>
      <c r="B71" s="67">
        <f>5083662+264982</f>
        <v>5348644</v>
      </c>
      <c r="C71" s="67">
        <f>5784598+1200000</f>
        <v>6984598</v>
      </c>
      <c r="D71" s="67">
        <v>8589894</v>
      </c>
      <c r="E71" s="67">
        <v>11012421</v>
      </c>
      <c r="F71" s="68">
        <f>6824653+500000</f>
        <v>7324653</v>
      </c>
      <c r="G71" s="68">
        <v>5059751</v>
      </c>
      <c r="H71" s="68">
        <v>2904292</v>
      </c>
      <c r="I71" s="68">
        <v>2496028</v>
      </c>
      <c r="J71" s="68">
        <v>2768257</v>
      </c>
      <c r="K71" s="67">
        <v>6058914.3600000003</v>
      </c>
    </row>
    <row r="72" spans="1:11" s="54" customFormat="1" x14ac:dyDescent="0.25">
      <c r="A72" s="80" t="s">
        <v>11</v>
      </c>
      <c r="B72" s="70">
        <f>6630133+3461000</f>
        <v>10091133</v>
      </c>
      <c r="C72" s="67">
        <f>32403346+7440000</f>
        <v>39843346</v>
      </c>
      <c r="D72" s="67">
        <v>30678597</v>
      </c>
      <c r="E72" s="67">
        <v>27044149</v>
      </c>
      <c r="F72" s="68">
        <f>62356964+9520980</f>
        <v>71877944</v>
      </c>
      <c r="G72" s="68">
        <v>42970789</v>
      </c>
      <c r="H72" s="68">
        <v>83992626</v>
      </c>
      <c r="I72" s="68">
        <f>63110520+149416068</f>
        <v>212526588</v>
      </c>
      <c r="J72" s="68">
        <f>1003312385+34343653</f>
        <v>1037656038</v>
      </c>
      <c r="K72" s="69">
        <v>895197282.07999992</v>
      </c>
    </row>
    <row r="73" spans="1:11" s="54" customFormat="1" x14ac:dyDescent="0.25">
      <c r="A73" s="80" t="s">
        <v>12</v>
      </c>
      <c r="B73" s="71">
        <v>0</v>
      </c>
      <c r="C73" s="67">
        <v>0</v>
      </c>
      <c r="D73" s="67" t="s">
        <v>43</v>
      </c>
      <c r="E73" s="67">
        <v>0</v>
      </c>
      <c r="F73" s="68">
        <v>0</v>
      </c>
      <c r="G73" s="68">
        <v>0</v>
      </c>
      <c r="H73" s="68">
        <v>0</v>
      </c>
      <c r="I73" s="68">
        <v>0</v>
      </c>
      <c r="J73" s="68">
        <v>0</v>
      </c>
      <c r="K73" s="126" t="s">
        <v>43</v>
      </c>
    </row>
    <row r="74" spans="1:11" s="54" customFormat="1" x14ac:dyDescent="0.25">
      <c r="A74" s="80" t="s">
        <v>13</v>
      </c>
      <c r="B74" s="67">
        <f>20359995+2532972</f>
        <v>22892967</v>
      </c>
      <c r="C74" s="67">
        <f>11065972+6252028</f>
        <v>17318000</v>
      </c>
      <c r="D74" s="67">
        <v>12056024</v>
      </c>
      <c r="E74" s="67">
        <v>17436366</v>
      </c>
      <c r="F74" s="68">
        <f>43183038+2070000</f>
        <v>45253038</v>
      </c>
      <c r="G74" s="68">
        <v>37173883</v>
      </c>
      <c r="H74" s="68">
        <v>76365918</v>
      </c>
      <c r="I74" s="68">
        <f>72296297+460000</f>
        <v>72756297</v>
      </c>
      <c r="J74" s="68">
        <f>197565468+1745000</f>
        <v>199310468</v>
      </c>
      <c r="K74" s="69">
        <v>543433224.38999999</v>
      </c>
    </row>
    <row r="75" spans="1:11" s="54" customFormat="1" x14ac:dyDescent="0.25">
      <c r="A75" s="80" t="s">
        <v>14</v>
      </c>
      <c r="B75" s="67">
        <f>178360528</f>
        <v>178360528</v>
      </c>
      <c r="C75" s="67">
        <v>213370638</v>
      </c>
      <c r="D75" s="67">
        <v>143755658</v>
      </c>
      <c r="E75" s="67">
        <v>197409561</v>
      </c>
      <c r="F75" s="68">
        <v>153368935</v>
      </c>
      <c r="G75" s="68">
        <v>98690909</v>
      </c>
      <c r="H75" s="68">
        <v>72118250</v>
      </c>
      <c r="I75" s="68">
        <v>121876769</v>
      </c>
      <c r="J75" s="68">
        <v>1596819115</v>
      </c>
      <c r="K75" s="69">
        <v>325574028.91999996</v>
      </c>
    </row>
    <row r="76" spans="1:11" s="54" customFormat="1" x14ac:dyDescent="0.25">
      <c r="A76" s="80" t="s">
        <v>15</v>
      </c>
      <c r="B76" s="67">
        <v>251881896</v>
      </c>
      <c r="C76" s="67">
        <v>275430214</v>
      </c>
      <c r="D76" s="67">
        <v>266636085</v>
      </c>
      <c r="E76" s="67">
        <v>281394679</v>
      </c>
      <c r="F76" s="68">
        <v>247126513</v>
      </c>
      <c r="G76" s="68">
        <v>203090651</v>
      </c>
      <c r="H76" s="68">
        <v>353083766</v>
      </c>
      <c r="I76" s="68">
        <v>255882951</v>
      </c>
      <c r="J76" s="68">
        <v>612734427.5</v>
      </c>
      <c r="K76" s="69">
        <v>361375087.53999996</v>
      </c>
    </row>
    <row r="77" spans="1:11" s="54" customFormat="1" x14ac:dyDescent="0.25">
      <c r="A77" s="80" t="s">
        <v>16</v>
      </c>
      <c r="B77" s="67">
        <v>1320000</v>
      </c>
      <c r="C77" s="67">
        <v>4870945</v>
      </c>
      <c r="D77" s="67">
        <v>1756500</v>
      </c>
      <c r="E77" s="67">
        <v>2562831</v>
      </c>
      <c r="F77" s="68">
        <v>2438500</v>
      </c>
      <c r="G77" s="68">
        <v>800000</v>
      </c>
      <c r="H77" s="68">
        <v>1200000</v>
      </c>
      <c r="I77" s="68">
        <v>7982000</v>
      </c>
      <c r="J77" s="68">
        <v>72245961</v>
      </c>
      <c r="K77" s="69">
        <v>1510705</v>
      </c>
    </row>
    <row r="78" spans="1:11" s="54" customFormat="1" x14ac:dyDescent="0.25">
      <c r="A78" s="80" t="s">
        <v>41</v>
      </c>
      <c r="B78" s="67">
        <v>110926687</v>
      </c>
      <c r="C78" s="67">
        <v>121152881</v>
      </c>
      <c r="D78" s="67">
        <v>132324833</v>
      </c>
      <c r="E78" s="67">
        <v>138334967</v>
      </c>
      <c r="F78" s="68">
        <v>157455288</v>
      </c>
      <c r="G78" s="68">
        <v>179493927</v>
      </c>
      <c r="H78" s="68">
        <v>116788780</v>
      </c>
      <c r="I78" s="68">
        <v>151352166</v>
      </c>
      <c r="J78" s="68">
        <v>623907349</v>
      </c>
      <c r="K78" s="69">
        <v>223754679.63999999</v>
      </c>
    </row>
    <row r="79" spans="1:11" s="54" customFormat="1" x14ac:dyDescent="0.25">
      <c r="A79" s="80" t="s">
        <v>18</v>
      </c>
      <c r="B79" s="67">
        <f>153953859+206931580</f>
        <v>360885439</v>
      </c>
      <c r="C79" s="67">
        <f>135807066+189735996</f>
        <v>325543062</v>
      </c>
      <c r="D79" s="67">
        <v>483741282</v>
      </c>
      <c r="E79" s="67">
        <v>210178886</v>
      </c>
      <c r="F79" s="68">
        <f>30256163+173011066</f>
        <v>203267229</v>
      </c>
      <c r="G79" s="68">
        <v>528245707</v>
      </c>
      <c r="H79" s="68">
        <v>978019194</v>
      </c>
      <c r="I79" s="68">
        <v>67520818</v>
      </c>
      <c r="J79" s="68">
        <f>239431575+250955200</f>
        <v>490386775</v>
      </c>
      <c r="K79" s="69">
        <v>839123925.97000003</v>
      </c>
    </row>
    <row r="80" spans="1:11" s="54" customFormat="1" x14ac:dyDescent="0.25">
      <c r="A80" s="80" t="s">
        <v>17</v>
      </c>
      <c r="B80" s="67">
        <v>36322301</v>
      </c>
      <c r="C80" s="67">
        <v>38132250</v>
      </c>
      <c r="D80" s="67">
        <v>54755958</v>
      </c>
      <c r="E80" s="67">
        <v>35998266</v>
      </c>
      <c r="F80" s="68">
        <v>43692419</v>
      </c>
      <c r="G80" s="68">
        <v>27325504</v>
      </c>
      <c r="H80" s="68">
        <v>20654246</v>
      </c>
      <c r="I80" s="68">
        <v>18986457</v>
      </c>
      <c r="J80" s="68">
        <v>24804078</v>
      </c>
      <c r="K80" s="69">
        <v>45817711.430000007</v>
      </c>
    </row>
    <row r="81" spans="1:20" s="54" customFormat="1" x14ac:dyDescent="0.25">
      <c r="A81" s="80" t="s">
        <v>19</v>
      </c>
      <c r="B81" s="67">
        <v>13606780</v>
      </c>
      <c r="C81" s="67">
        <v>14223245</v>
      </c>
      <c r="D81" s="67">
        <v>20236153.399999999</v>
      </c>
      <c r="E81" s="67">
        <v>22513668</v>
      </c>
      <c r="F81" s="68">
        <v>16940397</v>
      </c>
      <c r="G81" s="68">
        <v>20885244</v>
      </c>
      <c r="H81" s="68">
        <v>19516696</v>
      </c>
      <c r="I81" s="68">
        <v>13428030</v>
      </c>
      <c r="J81" s="68">
        <v>17661718</v>
      </c>
      <c r="K81" s="69">
        <v>34621102.519999996</v>
      </c>
    </row>
    <row r="82" spans="1:20" s="54" customFormat="1" x14ac:dyDescent="0.25">
      <c r="A82" s="80" t="s">
        <v>23</v>
      </c>
      <c r="B82" s="67">
        <v>212161658</v>
      </c>
      <c r="C82" s="67">
        <v>330608261</v>
      </c>
      <c r="D82" s="67">
        <v>301631502</v>
      </c>
      <c r="E82" s="67">
        <v>789320802</v>
      </c>
      <c r="F82" s="68">
        <v>1113456256</v>
      </c>
      <c r="G82" s="68">
        <v>738870455</v>
      </c>
      <c r="H82" s="68">
        <v>64765652</v>
      </c>
      <c r="I82" s="68">
        <v>99781207</v>
      </c>
      <c r="J82" s="68">
        <v>627779691</v>
      </c>
      <c r="K82" s="69">
        <v>211124227.12</v>
      </c>
    </row>
    <row r="83" spans="1:20" s="54" customFormat="1" x14ac:dyDescent="0.25">
      <c r="A83" s="80" t="s">
        <v>32</v>
      </c>
      <c r="B83" s="67">
        <v>171035971</v>
      </c>
      <c r="C83" s="67">
        <v>131377994</v>
      </c>
      <c r="D83" s="67">
        <v>173127448</v>
      </c>
      <c r="E83" s="67">
        <v>198872760</v>
      </c>
      <c r="F83" s="68">
        <v>232575417</v>
      </c>
      <c r="G83" s="68">
        <v>311859403</v>
      </c>
      <c r="H83" s="68">
        <v>436061989</v>
      </c>
      <c r="I83" s="68">
        <v>492756716</v>
      </c>
      <c r="J83" s="68">
        <v>854226611</v>
      </c>
      <c r="K83" s="69">
        <v>606362471.13000011</v>
      </c>
    </row>
    <row r="84" spans="1:20" s="54" customFormat="1" x14ac:dyDescent="0.25">
      <c r="A84" s="80" t="s">
        <v>33</v>
      </c>
      <c r="B84" s="67">
        <v>263091159</v>
      </c>
      <c r="C84" s="67">
        <v>361505919</v>
      </c>
      <c r="D84" s="67">
        <v>195488254</v>
      </c>
      <c r="E84" s="67">
        <v>241464302</v>
      </c>
      <c r="F84" s="68">
        <v>276177117</v>
      </c>
      <c r="G84" s="68">
        <v>163172036</v>
      </c>
      <c r="H84" s="68">
        <v>167429178</v>
      </c>
      <c r="I84" s="68">
        <v>110084584</v>
      </c>
      <c r="J84" s="68">
        <v>259556966</v>
      </c>
      <c r="K84" s="69">
        <v>201728845.30000007</v>
      </c>
    </row>
    <row r="85" spans="1:20" s="54" customFormat="1" x14ac:dyDescent="0.25">
      <c r="A85" s="80" t="s">
        <v>34</v>
      </c>
      <c r="B85" s="67">
        <v>83998586</v>
      </c>
      <c r="C85" s="67">
        <v>101788102</v>
      </c>
      <c r="D85" s="67">
        <v>78224823</v>
      </c>
      <c r="E85" s="67">
        <v>125192671</v>
      </c>
      <c r="F85" s="68">
        <v>137621091</v>
      </c>
      <c r="G85" s="68">
        <v>381212567</v>
      </c>
      <c r="H85" s="68">
        <v>437266163</v>
      </c>
      <c r="I85" s="68">
        <v>286104638</v>
      </c>
      <c r="J85" s="68">
        <v>193261991</v>
      </c>
      <c r="K85" s="69">
        <v>184314688.51999998</v>
      </c>
    </row>
    <row r="86" spans="1:20" s="54" customFormat="1" x14ac:dyDescent="0.25">
      <c r="A86" s="80" t="s">
        <v>38</v>
      </c>
      <c r="B86" s="72">
        <v>0</v>
      </c>
      <c r="C86" s="67">
        <v>338465456</v>
      </c>
      <c r="D86" s="67">
        <v>349493475</v>
      </c>
      <c r="E86" s="67">
        <v>521101585</v>
      </c>
      <c r="F86" s="68">
        <v>306260718</v>
      </c>
      <c r="G86" s="68">
        <v>507104442</v>
      </c>
      <c r="H86" s="68">
        <v>614014793</v>
      </c>
      <c r="I86" s="68">
        <v>154278595</v>
      </c>
      <c r="J86" s="68">
        <v>196366458</v>
      </c>
      <c r="K86" s="69">
        <v>261996235.88999999</v>
      </c>
    </row>
    <row r="87" spans="1:20" s="54" customFormat="1" x14ac:dyDescent="0.25">
      <c r="A87" s="80" t="s">
        <v>20</v>
      </c>
      <c r="B87" s="67">
        <v>2061101694</v>
      </c>
      <c r="C87" s="67">
        <v>961320502</v>
      </c>
      <c r="D87" s="67">
        <v>2129497963</v>
      </c>
      <c r="E87" s="67">
        <v>1201861365</v>
      </c>
      <c r="F87" s="68">
        <v>2260635802</v>
      </c>
      <c r="G87" s="68">
        <v>2398161926</v>
      </c>
      <c r="H87" s="68">
        <v>2811460986</v>
      </c>
      <c r="I87" s="68">
        <v>2162825766</v>
      </c>
      <c r="J87" s="68">
        <v>4103074746.5</v>
      </c>
      <c r="K87" s="69">
        <v>4794858495.1900005</v>
      </c>
    </row>
    <row r="88" spans="1:20" x14ac:dyDescent="0.25">
      <c r="A88" s="78" t="s">
        <v>21</v>
      </c>
      <c r="B88" s="63">
        <f>B94+B93+B89+B95+B96</f>
        <v>2808230556</v>
      </c>
      <c r="C88" s="63">
        <f>C94+C93+C89+C95+C96</f>
        <v>2820691301</v>
      </c>
      <c r="D88" s="63">
        <f>D94+D93+D89+D95+D96</f>
        <v>3275125979.4000001</v>
      </c>
      <c r="E88" s="63">
        <f>E94+E93+E89+E95+E96</f>
        <v>3595242735</v>
      </c>
      <c r="F88" s="63">
        <f t="shared" ref="F88:G88" si="4">F94+F93+F89+F95+F96</f>
        <v>3675969427</v>
      </c>
      <c r="G88" s="63">
        <f t="shared" si="4"/>
        <v>3229965530</v>
      </c>
      <c r="H88" s="63">
        <f>H94+H93+H89+H95+H96</f>
        <v>3547753159</v>
      </c>
      <c r="I88" s="63">
        <f>I94+I93+I89+I95+I96</f>
        <v>2907152602.3000002</v>
      </c>
      <c r="J88" s="63">
        <f>J94+J93+J89+J95+J96</f>
        <v>4976265350.3000002</v>
      </c>
      <c r="K88" s="63">
        <f>K94+K93+K89+K95+K96</f>
        <v>5770188032.3800001</v>
      </c>
      <c r="Q88" s="55"/>
      <c r="T88" s="54"/>
    </row>
    <row r="89" spans="1:20" x14ac:dyDescent="0.25">
      <c r="A89" s="81" t="s">
        <v>58</v>
      </c>
      <c r="B89" s="85">
        <f t="shared" ref="B89:J89" si="5">B92+B91+B90</f>
        <v>1496845447</v>
      </c>
      <c r="C89" s="85">
        <f t="shared" si="5"/>
        <v>1451593248</v>
      </c>
      <c r="D89" s="75">
        <f t="shared" si="5"/>
        <v>1726996952.4000001</v>
      </c>
      <c r="E89" s="75">
        <f t="shared" si="5"/>
        <v>1862664829</v>
      </c>
      <c r="F89" s="75">
        <f t="shared" si="5"/>
        <v>1774183478</v>
      </c>
      <c r="G89" s="75">
        <f t="shared" si="5"/>
        <v>1557360542</v>
      </c>
      <c r="H89" s="75">
        <f t="shared" si="5"/>
        <v>2187697386</v>
      </c>
      <c r="I89" s="75">
        <f t="shared" si="5"/>
        <v>1477620221.3</v>
      </c>
      <c r="J89" s="75">
        <f t="shared" si="5"/>
        <v>2249557688.3000002</v>
      </c>
      <c r="K89" s="75">
        <f>K92+K91+K90</f>
        <v>2678062163.1199999</v>
      </c>
      <c r="Q89" s="55"/>
      <c r="T89" s="54"/>
    </row>
    <row r="90" spans="1:20" s="54" customFormat="1" x14ac:dyDescent="0.25">
      <c r="A90" s="125" t="s">
        <v>25</v>
      </c>
      <c r="B90" s="67">
        <f>467809234+89936360</f>
        <v>557745594</v>
      </c>
      <c r="C90" s="67">
        <f>553817588+82039237</f>
        <v>635856825</v>
      </c>
      <c r="D90" s="67">
        <v>792240407</v>
      </c>
      <c r="E90" s="67">
        <f>755951110+74072907</f>
        <v>830024017</v>
      </c>
      <c r="F90" s="67">
        <f>646172210+95269314</f>
        <v>741441524</v>
      </c>
      <c r="G90" s="67">
        <v>670953543</v>
      </c>
      <c r="H90" s="67">
        <v>664589553</v>
      </c>
      <c r="I90" s="67">
        <f>602068277+26721616</f>
        <v>628789893</v>
      </c>
      <c r="J90" s="67">
        <f>699099518+64272084.3</f>
        <v>763371602.29999995</v>
      </c>
      <c r="K90" s="68">
        <v>1253588123.8600001</v>
      </c>
    </row>
    <row r="91" spans="1:20" s="54" customFormat="1" x14ac:dyDescent="0.25">
      <c r="A91" s="125" t="s">
        <v>24</v>
      </c>
      <c r="B91" s="67">
        <v>228143796</v>
      </c>
      <c r="C91" s="67">
        <f>247671353+4001000</f>
        <v>251672353</v>
      </c>
      <c r="D91" s="67">
        <v>316677629.39999998</v>
      </c>
      <c r="E91" s="67">
        <f>292981792+7840000</f>
        <v>300821792</v>
      </c>
      <c r="F91" s="67">
        <f>286211105+348000</f>
        <v>286559105</v>
      </c>
      <c r="G91" s="67">
        <v>300580804</v>
      </c>
      <c r="H91" s="67">
        <v>782287986</v>
      </c>
      <c r="I91" s="67">
        <f>122985475+110973869.3</f>
        <v>233959344.30000001</v>
      </c>
      <c r="J91" s="67">
        <f>249611307+3281000</f>
        <v>252892307</v>
      </c>
      <c r="K91" s="68">
        <v>470006228.83000004</v>
      </c>
    </row>
    <row r="92" spans="1:20" s="54" customFormat="1" x14ac:dyDescent="0.25">
      <c r="A92" s="125" t="s">
        <v>26</v>
      </c>
      <c r="B92" s="67">
        <v>710956057</v>
      </c>
      <c r="C92" s="67">
        <v>564064070</v>
      </c>
      <c r="D92" s="67">
        <v>618078916</v>
      </c>
      <c r="E92" s="67">
        <v>731819020</v>
      </c>
      <c r="F92" s="67">
        <v>746182849</v>
      </c>
      <c r="G92" s="67">
        <v>585826195</v>
      </c>
      <c r="H92" s="67">
        <v>740819847</v>
      </c>
      <c r="I92" s="67">
        <v>614870984</v>
      </c>
      <c r="J92" s="67">
        <v>1233293779</v>
      </c>
      <c r="K92" s="68">
        <v>954467810.42999995</v>
      </c>
    </row>
    <row r="93" spans="1:20" s="54" customFormat="1" x14ac:dyDescent="0.25">
      <c r="A93" s="81" t="s">
        <v>35</v>
      </c>
      <c r="B93" s="67">
        <f>264202019+875000</f>
        <v>265077019</v>
      </c>
      <c r="C93" s="67">
        <f>249827503+1339994</f>
        <v>251167497</v>
      </c>
      <c r="D93" s="67">
        <v>325549656</v>
      </c>
      <c r="E93" s="67">
        <f>349658995+2710000</f>
        <v>352368995</v>
      </c>
      <c r="F93" s="67">
        <f>406787010+2325000</f>
        <v>409112010</v>
      </c>
      <c r="G93" s="67">
        <v>357257585</v>
      </c>
      <c r="H93" s="67">
        <v>362031830</v>
      </c>
      <c r="I93" s="67">
        <f>287233702+1630000</f>
        <v>288863702</v>
      </c>
      <c r="J93" s="67">
        <f>406405846+24088356</f>
        <v>430494202</v>
      </c>
      <c r="K93" s="68">
        <v>17135597.350000001</v>
      </c>
    </row>
    <row r="94" spans="1:20" s="54" customFormat="1" x14ac:dyDescent="0.25">
      <c r="A94" s="125" t="s">
        <v>36</v>
      </c>
      <c r="B94" s="67">
        <v>272391826</v>
      </c>
      <c r="C94" s="67">
        <v>352258614</v>
      </c>
      <c r="D94" s="67">
        <v>547893441</v>
      </c>
      <c r="E94" s="67">
        <v>648444327</v>
      </c>
      <c r="F94" s="67">
        <v>756261773</v>
      </c>
      <c r="G94" s="67">
        <v>563003922</v>
      </c>
      <c r="H94" s="67">
        <v>299029429</v>
      </c>
      <c r="I94" s="67">
        <v>551005554</v>
      </c>
      <c r="J94" s="67">
        <v>1144388885</v>
      </c>
      <c r="K94" s="68">
        <v>1501988495.1700003</v>
      </c>
    </row>
    <row r="95" spans="1:20" s="54" customFormat="1" x14ac:dyDescent="0.25">
      <c r="A95" s="81" t="s">
        <v>59</v>
      </c>
      <c r="B95" s="85">
        <v>757963438</v>
      </c>
      <c r="C95" s="85">
        <v>747535163</v>
      </c>
      <c r="D95" s="75">
        <v>649933975</v>
      </c>
      <c r="E95" s="75">
        <v>692842122</v>
      </c>
      <c r="F95" s="75">
        <f>122476638+572571645+3390000</f>
        <v>698438283</v>
      </c>
      <c r="G95" s="75">
        <v>723672252</v>
      </c>
      <c r="H95" s="75">
        <v>669519147</v>
      </c>
      <c r="I95" s="75">
        <f>197156895+316879366+53910467</f>
        <v>567946728</v>
      </c>
      <c r="J95" s="75">
        <f>421353944+710482643+8418575</f>
        <v>1140255162</v>
      </c>
      <c r="K95" s="75">
        <v>1543600380.51</v>
      </c>
    </row>
    <row r="96" spans="1:20" s="54" customFormat="1" x14ac:dyDescent="0.25">
      <c r="A96" s="81" t="s">
        <v>60</v>
      </c>
      <c r="B96" s="85">
        <v>15952826</v>
      </c>
      <c r="C96" s="85">
        <v>18136779</v>
      </c>
      <c r="D96" s="75">
        <v>24751955</v>
      </c>
      <c r="E96" s="75">
        <v>38922462</v>
      </c>
      <c r="F96" s="75">
        <v>37973883</v>
      </c>
      <c r="G96" s="75">
        <v>28671229</v>
      </c>
      <c r="H96" s="75">
        <v>29475367</v>
      </c>
      <c r="I96" s="75">
        <v>21716397</v>
      </c>
      <c r="J96" s="75">
        <v>11569413</v>
      </c>
      <c r="K96" s="68">
        <v>29401396.23</v>
      </c>
    </row>
    <row r="97" spans="1:20" x14ac:dyDescent="0.25">
      <c r="A97" s="82" t="s">
        <v>61</v>
      </c>
      <c r="B97" s="65">
        <v>1435510331</v>
      </c>
      <c r="C97" s="65">
        <v>2283843793</v>
      </c>
      <c r="D97" s="67">
        <v>1452299679</v>
      </c>
      <c r="E97" s="67">
        <v>2171825949</v>
      </c>
      <c r="F97" s="67">
        <v>4147797486</v>
      </c>
      <c r="G97" s="67">
        <v>5523393904</v>
      </c>
      <c r="H97" s="67">
        <v>5000895131</v>
      </c>
      <c r="I97" s="67">
        <f>4235339499+392178603</f>
        <v>4627518102</v>
      </c>
      <c r="J97" s="67">
        <f>5312078652+455065263</f>
        <v>5767143915</v>
      </c>
      <c r="K97" s="68">
        <v>5731172155.6700001</v>
      </c>
      <c r="Q97" s="55"/>
      <c r="T97" s="54"/>
    </row>
    <row r="98" spans="1:20" x14ac:dyDescent="0.25">
      <c r="A98" s="86" t="s">
        <v>22</v>
      </c>
      <c r="B98" s="87">
        <f t="shared" ref="B98:K98" si="6">B97+B88+B62</f>
        <v>13578491961</v>
      </c>
      <c r="C98" s="87">
        <f t="shared" si="6"/>
        <v>14765347488</v>
      </c>
      <c r="D98" s="87">
        <f t="shared" si="6"/>
        <v>14382792077.799999</v>
      </c>
      <c r="E98" s="87">
        <f t="shared" si="6"/>
        <v>16421840420</v>
      </c>
      <c r="F98" s="87">
        <f t="shared" si="6"/>
        <v>19479194496</v>
      </c>
      <c r="G98" s="87">
        <f t="shared" si="6"/>
        <v>21067510438</v>
      </c>
      <c r="H98" s="87">
        <f t="shared" si="6"/>
        <v>21783508827</v>
      </c>
      <c r="I98" s="87">
        <f t="shared" si="6"/>
        <v>17751594647.900002</v>
      </c>
      <c r="J98" s="87">
        <f t="shared" si="6"/>
        <v>31335841239.599998</v>
      </c>
      <c r="K98" s="87">
        <f t="shared" si="6"/>
        <v>33153671875.000004</v>
      </c>
      <c r="Q98" s="55"/>
      <c r="T98" s="54"/>
    </row>
    <row r="99" spans="1:20" ht="6" customHeight="1" x14ac:dyDescent="0.25">
      <c r="A99" s="89"/>
      <c r="B99" s="90"/>
      <c r="C99" s="90"/>
      <c r="D99" s="90"/>
      <c r="E99" s="90"/>
      <c r="F99" s="90"/>
      <c r="G99" s="90"/>
      <c r="H99" s="90"/>
      <c r="I99" s="90"/>
      <c r="J99" s="90"/>
      <c r="K99" s="90"/>
    </row>
    <row r="100" spans="1:20" x14ac:dyDescent="0.25">
      <c r="A100" s="112" t="s">
        <v>63</v>
      </c>
      <c r="B100" s="113"/>
      <c r="C100" s="113"/>
      <c r="D100" s="113"/>
      <c r="E100" s="113"/>
      <c r="F100" s="114"/>
      <c r="G100" s="113"/>
      <c r="H100" s="96"/>
      <c r="I100" s="97"/>
      <c r="J100" s="97"/>
      <c r="K100" s="54"/>
    </row>
    <row r="101" spans="1:20" x14ac:dyDescent="0.25">
      <c r="A101" s="115" t="s">
        <v>68</v>
      </c>
      <c r="B101" s="115"/>
      <c r="C101" s="115"/>
      <c r="D101" s="115"/>
      <c r="E101" s="115"/>
      <c r="F101" s="115"/>
      <c r="G101" s="115"/>
      <c r="H101" s="54"/>
      <c r="I101" s="54"/>
      <c r="J101" s="54"/>
      <c r="K101" s="54"/>
    </row>
    <row r="102" spans="1:20" s="54" customFormat="1" x14ac:dyDescent="0.25">
      <c r="A102" s="115" t="s">
        <v>62</v>
      </c>
      <c r="B102" s="115"/>
      <c r="C102" s="115"/>
      <c r="D102" s="115"/>
      <c r="E102" s="115"/>
      <c r="F102" s="115"/>
      <c r="G102" s="115"/>
    </row>
    <row r="103" spans="1:20" s="54" customFormat="1" x14ac:dyDescent="0.25"/>
    <row r="104" spans="1:20" s="54" customFormat="1" x14ac:dyDescent="0.25"/>
    <row r="105" spans="1:20" s="54" customFormat="1" x14ac:dyDescent="0.25"/>
    <row r="106" spans="1:20" s="54" customFormat="1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3"/>
      <c r="N106" s="52"/>
      <c r="O106" s="52"/>
    </row>
    <row r="107" spans="1:20" s="54" customFormat="1" x14ac:dyDescent="0.25">
      <c r="Q107" s="102"/>
      <c r="R107" s="102"/>
      <c r="S107" s="102"/>
      <c r="T107" s="102"/>
    </row>
    <row r="108" spans="1:20" x14ac:dyDescent="0.25">
      <c r="A108" s="105" t="s">
        <v>56</v>
      </c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</row>
    <row r="109" spans="1:20" x14ac:dyDescent="0.25">
      <c r="A109" s="106" t="s">
        <v>57</v>
      </c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</row>
    <row r="110" spans="1:20" x14ac:dyDescent="0.25">
      <c r="A110" s="106" t="s">
        <v>67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</row>
    <row r="111" spans="1:20" x14ac:dyDescent="0.25">
      <c r="A111" s="134" t="s">
        <v>54</v>
      </c>
      <c r="B111" s="134"/>
      <c r="C111" s="134"/>
      <c r="D111" s="107"/>
      <c r="E111" s="107"/>
      <c r="F111" s="107"/>
      <c r="G111" s="107"/>
      <c r="H111" s="107"/>
      <c r="I111" s="107"/>
      <c r="J111" s="107"/>
      <c r="K111" s="107"/>
    </row>
    <row r="112" spans="1:20" x14ac:dyDescent="0.25">
      <c r="A112" s="76" t="s">
        <v>55</v>
      </c>
      <c r="B112" s="76">
        <v>2023</v>
      </c>
      <c r="C112" s="76">
        <v>2024</v>
      </c>
      <c r="D112" s="76">
        <v>2025</v>
      </c>
      <c r="E112" s="54"/>
      <c r="F112" s="54"/>
      <c r="G112" s="54"/>
      <c r="H112" s="54"/>
      <c r="I112" s="54"/>
      <c r="J112" s="54"/>
      <c r="K112" s="54"/>
      <c r="M112" s="55"/>
      <c r="N112" s="55"/>
      <c r="Q112" s="55"/>
      <c r="R112" s="55"/>
      <c r="S112" s="55"/>
    </row>
    <row r="113" spans="1:19" x14ac:dyDescent="0.25">
      <c r="A113" s="77"/>
      <c r="B113" s="77"/>
      <c r="C113" s="77"/>
      <c r="D113" s="77"/>
      <c r="E113" s="54"/>
      <c r="F113" s="54"/>
      <c r="G113" s="54"/>
      <c r="H113" s="54"/>
      <c r="I113" s="54"/>
      <c r="J113" s="54"/>
      <c r="K113" s="54"/>
      <c r="M113" s="55"/>
      <c r="N113" s="55"/>
      <c r="Q113" s="55"/>
      <c r="R113" s="55"/>
      <c r="S113" s="55"/>
    </row>
    <row r="114" spans="1:19" x14ac:dyDescent="0.25">
      <c r="A114" s="78" t="s">
        <v>1</v>
      </c>
      <c r="B114" s="63">
        <f>SUM(B115:B139)</f>
        <v>23205358905.530003</v>
      </c>
      <c r="C114" s="63">
        <f>SUM(C115:C139)</f>
        <v>18746297539.18</v>
      </c>
      <c r="D114" s="63">
        <f>SUM(D115:D139)</f>
        <v>18353390866.879993</v>
      </c>
      <c r="E114" s="54"/>
      <c r="F114" s="54"/>
      <c r="G114" s="54"/>
      <c r="H114" s="54"/>
      <c r="I114" s="54"/>
      <c r="J114" s="54"/>
      <c r="K114" s="54"/>
      <c r="M114" s="55"/>
      <c r="N114" s="55"/>
      <c r="Q114" s="55"/>
      <c r="R114" s="55"/>
      <c r="S114" s="55"/>
    </row>
    <row r="115" spans="1:19" s="54" customFormat="1" x14ac:dyDescent="0.25">
      <c r="A115" s="80" t="s">
        <v>2</v>
      </c>
      <c r="B115" s="67">
        <v>9234410585.4500008</v>
      </c>
      <c r="C115" s="67">
        <v>6696014638.0800009</v>
      </c>
      <c r="D115" s="67">
        <v>8360395036.6799994</v>
      </c>
    </row>
    <row r="116" spans="1:19" s="54" customFormat="1" x14ac:dyDescent="0.25">
      <c r="A116" s="80" t="s">
        <v>3</v>
      </c>
      <c r="B116" s="67">
        <v>295138808.46000004</v>
      </c>
      <c r="C116" s="67">
        <v>224049657.79999998</v>
      </c>
      <c r="D116" s="67">
        <v>181358409.49000001</v>
      </c>
    </row>
    <row r="117" spans="1:19" s="54" customFormat="1" x14ac:dyDescent="0.25">
      <c r="A117" s="80" t="s">
        <v>4</v>
      </c>
      <c r="B117" s="67">
        <v>695684937.33000016</v>
      </c>
      <c r="C117" s="67">
        <v>737637504.8499999</v>
      </c>
      <c r="D117" s="67">
        <v>598829593.05999994</v>
      </c>
    </row>
    <row r="118" spans="1:19" s="54" customFormat="1" x14ac:dyDescent="0.25">
      <c r="A118" s="80" t="s">
        <v>5</v>
      </c>
      <c r="B118" s="67">
        <v>130634823.37</v>
      </c>
      <c r="C118" s="67">
        <v>76404004.24000001</v>
      </c>
      <c r="D118" s="67">
        <v>53868833.979999997</v>
      </c>
    </row>
    <row r="119" spans="1:19" s="54" customFormat="1" x14ac:dyDescent="0.25">
      <c r="A119" s="80" t="s">
        <v>6</v>
      </c>
      <c r="B119" s="67">
        <v>2391081681.5100002</v>
      </c>
      <c r="C119" s="67">
        <v>1610743602.8600001</v>
      </c>
      <c r="D119" s="67">
        <v>1209964533.96</v>
      </c>
    </row>
    <row r="120" spans="1:19" s="54" customFormat="1" x14ac:dyDescent="0.25">
      <c r="A120" s="80" t="s">
        <v>7</v>
      </c>
      <c r="B120" s="67">
        <v>17698830.629999999</v>
      </c>
      <c r="C120" s="67">
        <v>22369621.660000004</v>
      </c>
      <c r="D120" s="67">
        <v>6700821.1199999982</v>
      </c>
    </row>
    <row r="121" spans="1:19" s="54" customFormat="1" x14ac:dyDescent="0.25">
      <c r="A121" s="80" t="s">
        <v>8</v>
      </c>
      <c r="B121" s="67">
        <v>118559853.15000001</v>
      </c>
      <c r="C121" s="67">
        <v>77485573.150000006</v>
      </c>
      <c r="D121" s="67">
        <v>63624609.540000007</v>
      </c>
    </row>
    <row r="122" spans="1:19" s="54" customFormat="1" x14ac:dyDescent="0.25">
      <c r="A122" s="80" t="s">
        <v>9</v>
      </c>
      <c r="B122" s="67">
        <v>55444764.829999998</v>
      </c>
      <c r="C122" s="67">
        <v>38205054.279999994</v>
      </c>
      <c r="D122" s="67">
        <v>41330776.25999999</v>
      </c>
    </row>
    <row r="123" spans="1:19" s="54" customFormat="1" x14ac:dyDescent="0.25">
      <c r="A123" s="80" t="s">
        <v>10</v>
      </c>
      <c r="B123" s="67">
        <v>8003816.7400000002</v>
      </c>
      <c r="C123" s="67">
        <v>4146044.63</v>
      </c>
      <c r="D123" s="67">
        <v>7466401.8600000003</v>
      </c>
    </row>
    <row r="124" spans="1:19" s="54" customFormat="1" x14ac:dyDescent="0.25">
      <c r="A124" s="80" t="s">
        <v>11</v>
      </c>
      <c r="B124" s="70">
        <v>1075555789.73</v>
      </c>
      <c r="C124" s="70">
        <v>1443295467.3699999</v>
      </c>
      <c r="D124" s="70">
        <v>1266782393.21</v>
      </c>
    </row>
    <row r="125" spans="1:19" x14ac:dyDescent="0.25">
      <c r="A125" s="80" t="s">
        <v>12</v>
      </c>
      <c r="B125" s="71">
        <v>0</v>
      </c>
      <c r="C125" s="71">
        <v>0</v>
      </c>
      <c r="D125" s="71">
        <v>0</v>
      </c>
      <c r="E125" s="54"/>
      <c r="F125" s="54"/>
      <c r="G125" s="54"/>
      <c r="H125" s="54"/>
      <c r="I125" s="54"/>
      <c r="J125" s="54"/>
      <c r="K125" s="54"/>
      <c r="M125" s="55"/>
      <c r="N125" s="55"/>
      <c r="Q125" s="55"/>
      <c r="R125" s="55"/>
      <c r="S125" s="55"/>
    </row>
    <row r="126" spans="1:19" s="54" customFormat="1" x14ac:dyDescent="0.25">
      <c r="A126" s="80" t="s">
        <v>13</v>
      </c>
      <c r="B126" s="67">
        <v>552766554.32999992</v>
      </c>
      <c r="C126" s="67">
        <v>228239222.38999999</v>
      </c>
      <c r="D126" s="67">
        <v>164861239.16</v>
      </c>
    </row>
    <row r="127" spans="1:19" s="54" customFormat="1" x14ac:dyDescent="0.25">
      <c r="A127" s="80" t="s">
        <v>14</v>
      </c>
      <c r="B127" s="67">
        <v>230893999.25</v>
      </c>
      <c r="C127" s="67">
        <v>175440964.21999997</v>
      </c>
      <c r="D127" s="67">
        <v>175348034.19999999</v>
      </c>
    </row>
    <row r="128" spans="1:19" s="54" customFormat="1" x14ac:dyDescent="0.25">
      <c r="A128" s="80" t="s">
        <v>15</v>
      </c>
      <c r="B128" s="67">
        <v>577657798.30000007</v>
      </c>
      <c r="C128" s="67">
        <v>613870866.71000004</v>
      </c>
      <c r="D128" s="67">
        <v>455927356.27999997</v>
      </c>
    </row>
    <row r="129" spans="1:19" s="54" customFormat="1" x14ac:dyDescent="0.25">
      <c r="A129" s="80" t="s">
        <v>64</v>
      </c>
      <c r="B129" s="67">
        <v>404734300.84999996</v>
      </c>
      <c r="C129" s="67">
        <v>193903987.34999996</v>
      </c>
      <c r="D129" s="67">
        <v>483052825.81999999</v>
      </c>
    </row>
    <row r="130" spans="1:19" s="54" customFormat="1" x14ac:dyDescent="0.25">
      <c r="A130" s="80" t="s">
        <v>18</v>
      </c>
      <c r="B130" s="67">
        <v>423605928.63999999</v>
      </c>
      <c r="C130" s="67">
        <v>1042532886.1799998</v>
      </c>
      <c r="D130" s="67">
        <v>719720806.67999995</v>
      </c>
    </row>
    <row r="131" spans="1:19" s="54" customFormat="1" x14ac:dyDescent="0.25">
      <c r="A131" s="80" t="s">
        <v>17</v>
      </c>
      <c r="B131" s="67">
        <v>33046578.800000004</v>
      </c>
      <c r="C131" s="67">
        <v>28769015.769999996</v>
      </c>
      <c r="D131" s="67">
        <v>32158151.869999997</v>
      </c>
    </row>
    <row r="132" spans="1:19" s="54" customFormat="1" x14ac:dyDescent="0.25">
      <c r="A132" s="80" t="s">
        <v>19</v>
      </c>
      <c r="B132" s="67">
        <v>42326890.549999997</v>
      </c>
      <c r="C132" s="67">
        <v>25056454.579999998</v>
      </c>
      <c r="D132" s="67">
        <v>23325628.290000003</v>
      </c>
    </row>
    <row r="133" spans="1:19" s="54" customFormat="1" x14ac:dyDescent="0.25">
      <c r="A133" s="80" t="s">
        <v>23</v>
      </c>
      <c r="B133" s="67">
        <v>217459296.94999999</v>
      </c>
      <c r="C133" s="67">
        <v>127376927.27999999</v>
      </c>
      <c r="D133" s="67">
        <v>374834042.78000003</v>
      </c>
    </row>
    <row r="134" spans="1:19" s="54" customFormat="1" x14ac:dyDescent="0.25">
      <c r="A134" s="80" t="s">
        <v>32</v>
      </c>
      <c r="B134" s="67">
        <v>735948491.05000007</v>
      </c>
      <c r="C134" s="67">
        <v>659438343.13</v>
      </c>
      <c r="D134" s="67">
        <v>520470979.45999998</v>
      </c>
    </row>
    <row r="135" spans="1:19" s="54" customFormat="1" x14ac:dyDescent="0.25">
      <c r="A135" s="80" t="s">
        <v>33</v>
      </c>
      <c r="B135" s="67">
        <v>212797730.14999998</v>
      </c>
      <c r="C135" s="67">
        <v>232767960.18000001</v>
      </c>
      <c r="D135" s="67">
        <v>184024516.16000003</v>
      </c>
    </row>
    <row r="136" spans="1:19" s="54" customFormat="1" x14ac:dyDescent="0.25">
      <c r="A136" s="80" t="s">
        <v>66</v>
      </c>
      <c r="B136" s="67">
        <v>192912325.08000001</v>
      </c>
      <c r="C136" s="67">
        <v>139913676.46000001</v>
      </c>
      <c r="D136" s="67">
        <v>101268793.32999998</v>
      </c>
    </row>
    <row r="137" spans="1:19" s="54" customFormat="1" x14ac:dyDescent="0.25">
      <c r="A137" s="80" t="s">
        <v>34</v>
      </c>
      <c r="B137" s="67">
        <v>109202857.80999999</v>
      </c>
      <c r="C137" s="67">
        <v>162975881.22999999</v>
      </c>
      <c r="D137" s="67">
        <v>156067162.25</v>
      </c>
    </row>
    <row r="138" spans="1:19" s="54" customFormat="1" x14ac:dyDescent="0.25">
      <c r="A138" s="80" t="s">
        <v>38</v>
      </c>
      <c r="B138" s="72">
        <v>310242870.85000002</v>
      </c>
      <c r="C138" s="72">
        <v>587265149.51999998</v>
      </c>
      <c r="D138" s="72">
        <v>485353957.53000003</v>
      </c>
    </row>
    <row r="139" spans="1:19" s="54" customFormat="1" x14ac:dyDescent="0.25">
      <c r="A139" s="80" t="s">
        <v>20</v>
      </c>
      <c r="B139" s="67">
        <v>5139549391.7200003</v>
      </c>
      <c r="C139" s="67">
        <v>3598395035.2600002</v>
      </c>
      <c r="D139" s="67">
        <v>2686655963.9099908</v>
      </c>
    </row>
    <row r="140" spans="1:19" x14ac:dyDescent="0.25">
      <c r="A140" s="78" t="s">
        <v>21</v>
      </c>
      <c r="B140" s="63">
        <f>B146+B145+B141+B147+B148+B149</f>
        <v>5150826736.3600006</v>
      </c>
      <c r="C140" s="63">
        <f>C146+C145+C141+C147+C148+C149</f>
        <v>3975106871.8499999</v>
      </c>
      <c r="D140" s="63">
        <f>D146+D145+D141+D147+D148+D149</f>
        <v>3994329525.4900002</v>
      </c>
      <c r="E140" s="54"/>
      <c r="F140" s="54"/>
      <c r="G140" s="54"/>
      <c r="H140" s="54"/>
      <c r="I140" s="54"/>
      <c r="J140" s="54"/>
      <c r="K140" s="54"/>
      <c r="M140" s="55"/>
      <c r="N140" s="55"/>
      <c r="Q140" s="55"/>
      <c r="R140" s="55"/>
      <c r="S140" s="55"/>
    </row>
    <row r="141" spans="1:19" x14ac:dyDescent="0.25">
      <c r="A141" s="81" t="s">
        <v>58</v>
      </c>
      <c r="B141" s="85">
        <f>B144+B143+B142</f>
        <v>2347031247.4100003</v>
      </c>
      <c r="C141" s="85">
        <f>C144+C143+C142</f>
        <v>2098135357.5799999</v>
      </c>
      <c r="D141" s="85">
        <f>D144+D143+D142</f>
        <v>1838761776.8099999</v>
      </c>
      <c r="E141" s="54"/>
      <c r="F141" s="54"/>
      <c r="G141" s="54"/>
      <c r="H141" s="54"/>
      <c r="I141" s="54"/>
      <c r="J141" s="54"/>
      <c r="K141" s="54"/>
      <c r="M141" s="55"/>
      <c r="N141" s="55"/>
      <c r="Q141" s="55"/>
      <c r="R141" s="55"/>
      <c r="S141" s="55"/>
    </row>
    <row r="142" spans="1:19" s="54" customFormat="1" x14ac:dyDescent="0.25">
      <c r="A142" s="125" t="s">
        <v>25</v>
      </c>
      <c r="B142" s="67">
        <v>1073523499.1400001</v>
      </c>
      <c r="C142" s="67">
        <v>953760832.09000003</v>
      </c>
      <c r="D142" s="67">
        <v>839855487.44000006</v>
      </c>
    </row>
    <row r="143" spans="1:19" s="54" customFormat="1" x14ac:dyDescent="0.25">
      <c r="A143" s="125" t="s">
        <v>24</v>
      </c>
      <c r="B143" s="67">
        <v>435651109.18000001</v>
      </c>
      <c r="C143" s="67">
        <v>457879321.51999998</v>
      </c>
      <c r="D143" s="67">
        <v>183209070.41999996</v>
      </c>
    </row>
    <row r="144" spans="1:19" s="54" customFormat="1" x14ac:dyDescent="0.25">
      <c r="A144" s="125" t="s">
        <v>26</v>
      </c>
      <c r="B144" s="67">
        <v>837856639.09000015</v>
      </c>
      <c r="C144" s="67">
        <v>686495203.96999991</v>
      </c>
      <c r="D144" s="67">
        <v>815697218.94999993</v>
      </c>
    </row>
    <row r="145" spans="1:19" s="54" customFormat="1" x14ac:dyDescent="0.25">
      <c r="A145" s="81" t="s">
        <v>35</v>
      </c>
      <c r="B145" s="67">
        <v>2668957</v>
      </c>
      <c r="C145" s="67">
        <v>999017.28</v>
      </c>
      <c r="D145" s="67">
        <v>197936</v>
      </c>
    </row>
    <row r="146" spans="1:19" s="54" customFormat="1" x14ac:dyDescent="0.25">
      <c r="A146" s="125" t="s">
        <v>36</v>
      </c>
      <c r="B146" s="67">
        <v>973013597.16000021</v>
      </c>
      <c r="C146" s="67">
        <v>268421161.52000001</v>
      </c>
      <c r="D146" s="67">
        <v>759441954.36000013</v>
      </c>
    </row>
    <row r="147" spans="1:19" s="54" customFormat="1" x14ac:dyDescent="0.25">
      <c r="A147" s="81" t="s">
        <v>59</v>
      </c>
      <c r="B147" s="85">
        <v>1624423386.0900002</v>
      </c>
      <c r="C147" s="85">
        <v>1474296102.1499999</v>
      </c>
      <c r="D147" s="85">
        <v>1121534255.3900001</v>
      </c>
    </row>
    <row r="148" spans="1:19" s="54" customFormat="1" x14ac:dyDescent="0.25">
      <c r="A148" s="81" t="s">
        <v>65</v>
      </c>
      <c r="B148" s="85">
        <v>172573129.40000001</v>
      </c>
      <c r="C148" s="85">
        <v>118436807.05000001</v>
      </c>
      <c r="D148" s="85">
        <v>252388600.82999998</v>
      </c>
    </row>
    <row r="149" spans="1:19" s="54" customFormat="1" x14ac:dyDescent="0.25">
      <c r="A149" s="81" t="s">
        <v>60</v>
      </c>
      <c r="B149" s="85">
        <v>31116419.299999997</v>
      </c>
      <c r="C149" s="85">
        <v>14818426.27</v>
      </c>
      <c r="D149" s="85">
        <v>22005002.100000001</v>
      </c>
    </row>
    <row r="150" spans="1:19" s="54" customFormat="1" x14ac:dyDescent="0.25">
      <c r="A150" s="125" t="s">
        <v>61</v>
      </c>
      <c r="B150" s="71">
        <v>4834431611.0500002</v>
      </c>
      <c r="C150" s="71">
        <v>4412369122.9500008</v>
      </c>
      <c r="D150" s="71">
        <v>3552043826.6500001</v>
      </c>
    </row>
    <row r="151" spans="1:19" x14ac:dyDescent="0.25">
      <c r="A151" s="86" t="s">
        <v>22</v>
      </c>
      <c r="B151" s="87">
        <f>B150+B140+B114</f>
        <v>33190617252.940002</v>
      </c>
      <c r="C151" s="87">
        <f>C150+C140+C114</f>
        <v>27133773533.980003</v>
      </c>
      <c r="D151" s="87">
        <f>D150+D140+D114</f>
        <v>25899764219.019993</v>
      </c>
      <c r="E151" s="54"/>
      <c r="F151" s="54"/>
      <c r="G151" s="54"/>
      <c r="H151" s="54"/>
      <c r="I151" s="54"/>
      <c r="J151" s="54"/>
      <c r="K151" s="54"/>
      <c r="M151" s="55"/>
      <c r="N151" s="55"/>
      <c r="Q151" s="55"/>
      <c r="R151" s="55"/>
      <c r="S151" s="55"/>
    </row>
    <row r="152" spans="1:19" ht="6" customHeight="1" x14ac:dyDescent="0.25">
      <c r="A152" s="89"/>
      <c r="B152" s="90"/>
      <c r="C152" s="90"/>
      <c r="D152" s="90"/>
      <c r="E152" s="124"/>
      <c r="F152" s="124"/>
      <c r="G152" s="124"/>
      <c r="H152" s="124"/>
      <c r="I152" s="54"/>
      <c r="J152" s="54"/>
      <c r="K152" s="54"/>
      <c r="M152" s="55"/>
      <c r="O152" s="54"/>
      <c r="P152" s="54"/>
      <c r="Q152" s="55"/>
      <c r="R152" s="55"/>
      <c r="S152" s="55"/>
    </row>
    <row r="153" spans="1:19" x14ac:dyDescent="0.25">
      <c r="A153" s="112" t="s">
        <v>63</v>
      </c>
      <c r="B153" s="113"/>
      <c r="C153" s="113"/>
      <c r="D153" s="113"/>
      <c r="E153" s="113"/>
      <c r="F153" s="114"/>
      <c r="G153" s="113"/>
      <c r="H153" s="96"/>
      <c r="I153" s="97"/>
      <c r="J153" s="97"/>
      <c r="K153" s="54"/>
    </row>
    <row r="154" spans="1:19" ht="30.75" customHeight="1" x14ac:dyDescent="0.25">
      <c r="A154" s="133" t="s">
        <v>68</v>
      </c>
      <c r="B154" s="133"/>
      <c r="C154" s="133"/>
      <c r="D154" s="133"/>
      <c r="E154" s="128"/>
      <c r="F154" s="128"/>
      <c r="G154" s="115"/>
      <c r="H154" s="54"/>
      <c r="I154" s="54"/>
      <c r="J154" s="54"/>
      <c r="K154" s="54"/>
    </row>
    <row r="155" spans="1:19" s="54" customFormat="1" ht="18" customHeight="1" x14ac:dyDescent="0.25">
      <c r="A155" s="115" t="s">
        <v>69</v>
      </c>
      <c r="B155" s="115"/>
      <c r="C155" s="115"/>
      <c r="D155" s="115"/>
      <c r="E155" s="115"/>
      <c r="F155" s="115"/>
      <c r="G155" s="115"/>
    </row>
    <row r="156" spans="1:19" s="54" customFormat="1" x14ac:dyDescent="0.25"/>
    <row r="157" spans="1:19" s="54" customFormat="1" x14ac:dyDescent="0.25"/>
    <row r="158" spans="1:19" s="54" customFormat="1" x14ac:dyDescent="0.25">
      <c r="B158" s="127"/>
      <c r="C158" s="127"/>
    </row>
    <row r="159" spans="1:19" s="54" customFormat="1" x14ac:dyDescent="0.25"/>
    <row r="160" spans="1:19" s="54" customFormat="1" x14ac:dyDescent="0.25"/>
    <row r="161" s="54" customFormat="1" x14ac:dyDescent="0.25"/>
    <row r="162" s="54" customFormat="1" x14ac:dyDescent="0.25"/>
    <row r="163" s="54" customFormat="1" x14ac:dyDescent="0.25"/>
    <row r="164" s="54" customFormat="1" x14ac:dyDescent="0.25"/>
    <row r="165" s="54" customFormat="1" x14ac:dyDescent="0.25"/>
    <row r="166" s="54" customFormat="1" x14ac:dyDescent="0.25"/>
  </sheetData>
  <mergeCells count="10">
    <mergeCell ref="A5:K5"/>
    <mergeCell ref="A6:K6"/>
    <mergeCell ref="A7:K7"/>
    <mergeCell ref="A8:K8"/>
    <mergeCell ref="A56:K56"/>
    <mergeCell ref="A154:D154"/>
    <mergeCell ref="A111:C111"/>
    <mergeCell ref="A57:K57"/>
    <mergeCell ref="A58:K58"/>
    <mergeCell ref="A59:K59"/>
  </mergeCells>
  <printOptions horizontalCentered="1"/>
  <pageMargins left="0.74803149606299213" right="0.15748031496062992" top="0.74803149606299213" bottom="0.74803149606299213" header="0.31496062992125984" footer="0.31496062992125984"/>
  <pageSetup scale="6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11.1.2 (2)</vt:lpstr>
      <vt:lpstr>11.1.2 </vt:lpstr>
      <vt:lpstr>'11.1.2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Economia Agropecuaria</cp:lastModifiedBy>
  <cp:lastPrinted>2023-10-12T19:26:26Z</cp:lastPrinted>
  <dcterms:created xsi:type="dcterms:W3CDTF">1999-03-05T18:31:59Z</dcterms:created>
  <dcterms:modified xsi:type="dcterms:W3CDTF">2026-02-18T13:21:08Z</dcterms:modified>
</cp:coreProperties>
</file>