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'Hoja1'!$A:$IV</definedName>
    <definedName name="_xlnm.Print_Titles" localSheetId="0">'Hoja1'!$3:$21</definedName>
  </definedNames>
  <calcPr fullCalcOnLoad="1"/>
</workbook>
</file>

<file path=xl/sharedStrings.xml><?xml version="1.0" encoding="utf-8"?>
<sst xmlns="http://schemas.openxmlformats.org/spreadsheetml/2006/main" count="157" uniqueCount="114">
  <si>
    <t>IV. Insumos      :</t>
  </si>
  <si>
    <t>II.Preparación de terreno:</t>
  </si>
  <si>
    <t>III. Mano de Obra:</t>
  </si>
  <si>
    <t>I. Semillero             :</t>
  </si>
  <si>
    <t>TOTAL</t>
  </si>
  <si>
    <t>GASTO SEGURO AGRICOLA.</t>
  </si>
  <si>
    <t>SUBTOTAL</t>
  </si>
  <si>
    <t>Hom-Día</t>
  </si>
  <si>
    <t>19. Transporte Interno</t>
  </si>
  <si>
    <t xml:space="preserve">  .2 Recolección (Manual)</t>
  </si>
  <si>
    <t xml:space="preserve">  .1 Apertura de los Surcos</t>
  </si>
  <si>
    <t>IV</t>
  </si>
  <si>
    <t>18. Cosecha:</t>
  </si>
  <si>
    <t>13. Aporque (Animal)</t>
  </si>
  <si>
    <t>III</t>
  </si>
  <si>
    <t>12. Desyerbo (Manual)</t>
  </si>
  <si>
    <t>9.  Riego (2 Aplic.)</t>
  </si>
  <si>
    <t>8.  Aporque (Animal)</t>
  </si>
  <si>
    <t>II</t>
  </si>
  <si>
    <t>6.  Desyerbo (Manual)</t>
  </si>
  <si>
    <t>5.  Riego (2 Aplic.)</t>
  </si>
  <si>
    <t>I</t>
  </si>
  <si>
    <t>4.  Siembra</t>
  </si>
  <si>
    <t>3.  Corte de los Tuberculos</t>
  </si>
  <si>
    <t>Tarea</t>
  </si>
  <si>
    <t>2.  Preparación del Terreno:</t>
  </si>
  <si>
    <t>Galón</t>
  </si>
  <si>
    <t>Litro</t>
  </si>
  <si>
    <t>Kilo</t>
  </si>
  <si>
    <t>Quintal</t>
  </si>
  <si>
    <t>1. Insumos: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</si>
  <si>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</si>
  <si>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</si>
  <si>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</si>
  <si>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</si>
  <si>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</si>
  <si>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</si>
  <si>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</si>
  <si>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</si>
  <si>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/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</si>
  <si>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</si>
  <si>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</si>
  <si>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</si>
  <si>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</si>
  <si>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</si>
  <si>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JORNAL DIARIO :</t>
  </si>
  <si>
    <t>Alto</t>
  </si>
  <si>
    <t xml:space="preserve"> NIVEL INSUMOS...</t>
  </si>
  <si>
    <t>8 Horas</t>
  </si>
  <si>
    <t>HOMBRE-DIA</t>
  </si>
  <si>
    <t>Riego-Bomba</t>
  </si>
  <si>
    <t xml:space="preserve"> ORIGEN DE AGUAS</t>
  </si>
  <si>
    <t>Directo</t>
  </si>
  <si>
    <t xml:space="preserve"> METODO SIEMBRA.</t>
  </si>
  <si>
    <t>QQ 100 Lb</t>
  </si>
  <si>
    <t xml:space="preserve">  RENDIMIENTO</t>
  </si>
  <si>
    <t>VARIEDAD</t>
  </si>
  <si>
    <t>ENTREVISTAS...</t>
  </si>
  <si>
    <t>Constanza</t>
  </si>
  <si>
    <t>AREA APLIC....</t>
  </si>
  <si>
    <t>Cant.</t>
  </si>
  <si>
    <t>Papa</t>
  </si>
  <si>
    <t>3 Meses</t>
  </si>
  <si>
    <t>8-30-0534A</t>
  </si>
  <si>
    <t xml:space="preserve"> COSTO CODIGO</t>
  </si>
  <si>
    <t xml:space="preserve"> CICLO</t>
  </si>
  <si>
    <t xml:space="preserve"> RUBRO</t>
  </si>
  <si>
    <t>Marzo</t>
  </si>
  <si>
    <t>Julio</t>
  </si>
  <si>
    <t xml:space="preserve"> FECHA SIEMBRA</t>
  </si>
  <si>
    <t xml:space="preserve"> FECHA COSECHA</t>
  </si>
  <si>
    <t>Unidad</t>
  </si>
  <si>
    <t xml:space="preserve">Costo/ </t>
  </si>
  <si>
    <t>14. Riego (4 Aplic.)</t>
  </si>
  <si>
    <t>GASTOS ADMINISTRATIVOS 2%</t>
  </si>
  <si>
    <t>FECHA  :</t>
  </si>
  <si>
    <t>Coeficiente Técnico por Actividad</t>
  </si>
  <si>
    <t>....................................................</t>
  </si>
  <si>
    <t>Todas Disponibles</t>
  </si>
  <si>
    <t xml:space="preserve">Notas:  </t>
  </si>
  <si>
    <t>1. Semilla</t>
  </si>
  <si>
    <t>2.Fertilizante (FERTIKA)</t>
  </si>
  <si>
    <t>3.Fertilizante (Potacio)</t>
  </si>
  <si>
    <t>4.Herbicida (Alamet)</t>
  </si>
  <si>
    <t>5. Fungicida (Acrobac)</t>
  </si>
  <si>
    <t>6. Fungicida (Dithane 80 WP5)</t>
  </si>
  <si>
    <t>7. Fungicida (Previcur )</t>
  </si>
  <si>
    <t>8. Fungicida (Daconil)</t>
  </si>
  <si>
    <t>9. Insecticida (Decis)</t>
  </si>
  <si>
    <t>10. Insecticida (Mach)</t>
  </si>
  <si>
    <t>11. Insecticida (Cidyn)</t>
  </si>
  <si>
    <t>12. Insecticida (Pirate)</t>
  </si>
  <si>
    <t>13. Adherente (Agral)</t>
  </si>
  <si>
    <t>14.Aceite 40</t>
  </si>
  <si>
    <t>15. Combustible (Gasoil)</t>
  </si>
  <si>
    <t>16. Combustible (Gasolina)</t>
  </si>
  <si>
    <t>17. Pago de Agua INDRHI (3 Meses)</t>
  </si>
  <si>
    <t>1. Corte</t>
  </si>
  <si>
    <t>2. Rotovator</t>
  </si>
  <si>
    <t>3.Surqueo</t>
  </si>
  <si>
    <t>PAGO INTERESES 8.0% ANUAL (3 meses 2.0%)</t>
  </si>
  <si>
    <t>2022</t>
  </si>
  <si>
    <t>Viceministerio de Planificación Sectorial Agropecuaria</t>
  </si>
  <si>
    <t>Departamento de Economía Agropecuaria y Estadísticas</t>
  </si>
  <si>
    <t>Participación     (%) por Actividad</t>
  </si>
  <si>
    <t>7. Aplic. Fertilizante (1.1468 QQ Fertika)</t>
  </si>
  <si>
    <t>10. Aplicación Herbicida  (0.0869 Lt. Alamet)</t>
  </si>
  <si>
    <t>11. Aplic. Pesticida (0.0979 lt  Mach + 0.1619 kg Daconill  0.0194 lt Adherente Agral)</t>
  </si>
  <si>
    <t>16. Aplic. Fertilizante (0.2176 QQ  Potacio)</t>
  </si>
  <si>
    <t>15. Aplic. Pesticida (0.0795 Lt.  Decis; 0.1277 lt Acrobac,  0.1094 lt Agral; 0.3367 kg Dithane 80 wp)</t>
  </si>
  <si>
    <t>17. Aplic. Pesticida (0.2182 lt  Cidyn + 0.1159 Kg. Previcur +  0.0383 Lt  Pirate +  0.0195 lt Agral)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</si>
  <si>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</si>
  <si>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Costos Variables de Producción de Papa, 2022 (RD$/ tarea)</t>
  </si>
  <si>
    <t>Los coeficientes utilizados en la estimación de los costos de producción fueron, actualizados en el levantamiento de campo realizado en el 2008, con el apoyo del PATCA. A partir del 2009, se han actualizado anualmente el precio de los insumos (pesticidas, agua y combustible), mano de obra,  actividades de preparación de  terreno y tasa de interés. Precio de los insumos actualizados a marzo, 2022.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</si>
</sst>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&quot;$&quot;#,##0.0_);\(&quot;$&quot;#,##0.0\)"/>
    <numFmt numFmtId="189" formatCode="#,##0.0_);\(#,##0.0\)"/>
    <numFmt numFmtId="190" formatCode="0.00_)"/>
    <numFmt numFmtId="191" formatCode="0.0000_)"/>
    <numFmt numFmtId="192" formatCode="#,##0.0000_);\(#,##0.0000\)"/>
    <numFmt numFmtId="193" formatCode="_(* #,##0.000_);_(* \(#,##0.000\);_(* &quot;-&quot;?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_);_(* \(#,##0.0000\);_(* &quot;-&quot;????_);_(@_)"/>
    <numFmt numFmtId="199" formatCode="0.0_)"/>
    <numFmt numFmtId="200" formatCode="&quot;RD$&quot;#,##0.00"/>
    <numFmt numFmtId="201" formatCode="_-* #,##0.00_-;\-* #,##0.00_-;_-* &quot;-&quot;??_-;_-@_-"/>
    <numFmt numFmtId="202" formatCode="_-* #,##0_-;\-* #,##0_-;_-* &quot;-&quot;??_-;_-@_-"/>
    <numFmt numFmtId="203" formatCode="#,##0.00_ ;\-#,##0.00\ "/>
    <numFmt numFmtId="204" formatCode="#,##0.00000000000_);\(#,##0.00000000000\)"/>
    <numFmt numFmtId="205" formatCode="#,##0.0000000000_);\(#,##0.0000000000\)"/>
    <numFmt numFmtId="206" formatCode="#,##0.000000000_);\(#,##0.000000000\)"/>
    <numFmt numFmtId="207" formatCode="#,##0.00000000_);\(#,##0.00000000\)"/>
    <numFmt numFmtId="208" formatCode="#,##0.0000000_);\(#,##0.0000000\)"/>
    <numFmt numFmtId="209" formatCode="#,##0.000000_);\(#,##0.000000\)"/>
    <numFmt numFmtId="210" formatCode="#,##0.00000_);\(#,##0.00000\)"/>
    <numFmt numFmtId="211" formatCode="#,##0.000_);\(#,##0.000\)"/>
    <numFmt numFmtId="212" formatCode="0.0000000000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.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54" applyFont="1" applyAlignment="1">
      <alignment horizontal="center"/>
    </xf>
    <xf numFmtId="0" fontId="2" fillId="33" borderId="0" xfId="0" applyFont="1" applyFill="1" applyAlignment="1">
      <alignment/>
    </xf>
    <xf numFmtId="9" fontId="2" fillId="33" borderId="0" xfId="54" applyFont="1" applyFill="1" applyAlignment="1">
      <alignment horizontal="center"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7" fontId="3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89" fontId="1" fillId="33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9" fontId="24" fillId="34" borderId="0" xfId="54" applyFont="1" applyFill="1" applyAlignment="1">
      <alignment horizontal="center"/>
    </xf>
    <xf numFmtId="0" fontId="24" fillId="33" borderId="0" xfId="0" applyFont="1" applyFill="1" applyAlignment="1" applyProtection="1">
      <alignment horizontal="left"/>
      <protection/>
    </xf>
    <xf numFmtId="0" fontId="24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9" fontId="4" fillId="33" borderId="0" xfId="54" applyFont="1" applyFill="1" applyAlignment="1" applyProtection="1">
      <alignment horizontal="left"/>
      <protection/>
    </xf>
    <xf numFmtId="9" fontId="5" fillId="33" borderId="0" xfId="54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>
      <alignment/>
    </xf>
    <xf numFmtId="39" fontId="24" fillId="33" borderId="0" xfId="0" applyNumberFormat="1" applyFont="1" applyFill="1" applyAlignment="1" applyProtection="1">
      <alignment/>
      <protection/>
    </xf>
    <xf numFmtId="192" fontId="24" fillId="33" borderId="0" xfId="0" applyNumberFormat="1" applyFont="1" applyFill="1" applyAlignment="1" applyProtection="1">
      <alignment horizontal="left"/>
      <protection/>
    </xf>
    <xf numFmtId="39" fontId="24" fillId="33" borderId="0" xfId="0" applyNumberFormat="1" applyFont="1" applyFill="1" applyAlignment="1" applyProtection="1">
      <alignment horizontal="center"/>
      <protection/>
    </xf>
    <xf numFmtId="192" fontId="25" fillId="33" borderId="0" xfId="0" applyNumberFormat="1" applyFont="1" applyFill="1" applyAlignment="1" applyProtection="1">
      <alignment horizontal="center"/>
      <protection/>
    </xf>
    <xf numFmtId="0" fontId="24" fillId="33" borderId="0" xfId="0" applyFont="1" applyFill="1" applyAlignment="1">
      <alignment horizontal="right"/>
    </xf>
    <xf numFmtId="202" fontId="26" fillId="33" borderId="0" xfId="49" applyNumberFormat="1" applyFont="1" applyFill="1" applyBorder="1" applyAlignment="1" applyProtection="1">
      <alignment horizontal="left"/>
      <protection/>
    </xf>
    <xf numFmtId="194" fontId="24" fillId="33" borderId="0" xfId="47" applyNumberFormat="1" applyFont="1" applyFill="1" applyAlignment="1">
      <alignment/>
    </xf>
    <xf numFmtId="187" fontId="24" fillId="33" borderId="0" xfId="0" applyNumberFormat="1" applyFont="1" applyFill="1" applyAlignment="1" applyProtection="1">
      <alignment horizontal="left"/>
      <protection/>
    </xf>
    <xf numFmtId="0" fontId="27" fillId="33" borderId="0" xfId="0" applyFont="1" applyFill="1" applyAlignment="1" applyProtection="1">
      <alignment horizontal="left"/>
      <protection/>
    </xf>
    <xf numFmtId="49" fontId="28" fillId="33" borderId="0" xfId="0" applyNumberFormat="1" applyFont="1" applyFill="1" applyAlignment="1" applyProtection="1">
      <alignment horizontal="center"/>
      <protection/>
    </xf>
    <xf numFmtId="200" fontId="24" fillId="33" borderId="0" xfId="0" applyNumberFormat="1" applyFont="1" applyFill="1" applyAlignment="1" applyProtection="1" quotePrefix="1">
      <alignment horizontal="left"/>
      <protection/>
    </xf>
    <xf numFmtId="0" fontId="24" fillId="33" borderId="0" xfId="0" applyFont="1" applyFill="1" applyBorder="1" applyAlignment="1" applyProtection="1">
      <alignment horizontal="fill"/>
      <protection/>
    </xf>
    <xf numFmtId="9" fontId="24" fillId="33" borderId="0" xfId="54" applyFont="1" applyFill="1" applyAlignment="1">
      <alignment horizontal="center"/>
    </xf>
    <xf numFmtId="0" fontId="53" fillId="34" borderId="1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53" fillId="34" borderId="11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left"/>
      <protection/>
    </xf>
    <xf numFmtId="0" fontId="53" fillId="34" borderId="12" xfId="0" applyFont="1" applyFill="1" applyBorder="1" applyAlignment="1" applyProtection="1">
      <alignment horizontal="left"/>
      <protection/>
    </xf>
    <xf numFmtId="0" fontId="53" fillId="34" borderId="12" xfId="0" applyFont="1" applyFill="1" applyBorder="1" applyAlignment="1" applyProtection="1">
      <alignment horizontal="center"/>
      <protection/>
    </xf>
    <xf numFmtId="0" fontId="53" fillId="34" borderId="13" xfId="0" applyFont="1" applyFill="1" applyBorder="1" applyAlignment="1" applyProtection="1">
      <alignment horizontal="fill"/>
      <protection/>
    </xf>
    <xf numFmtId="0" fontId="53" fillId="34" borderId="14" xfId="0" applyFont="1" applyFill="1" applyBorder="1" applyAlignment="1" applyProtection="1">
      <alignment horizontal="fill"/>
      <protection/>
    </xf>
    <xf numFmtId="0" fontId="53" fillId="34" borderId="15" xfId="0" applyFont="1" applyFill="1" applyBorder="1" applyAlignment="1" applyProtection="1">
      <alignment horizontal="fill"/>
      <protection/>
    </xf>
    <xf numFmtId="0" fontId="30" fillId="33" borderId="10" xfId="0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191" fontId="24" fillId="33" borderId="12" xfId="0" applyNumberFormat="1" applyFont="1" applyFill="1" applyBorder="1" applyAlignment="1" applyProtection="1">
      <alignment/>
      <protection/>
    </xf>
    <xf numFmtId="0" fontId="24" fillId="33" borderId="12" xfId="0" applyFont="1" applyFill="1" applyBorder="1" applyAlignment="1">
      <alignment horizontal="center"/>
    </xf>
    <xf numFmtId="39" fontId="24" fillId="33" borderId="12" xfId="0" applyNumberFormat="1" applyFont="1" applyFill="1" applyBorder="1" applyAlignment="1" applyProtection="1">
      <alignment/>
      <protection/>
    </xf>
    <xf numFmtId="187" fontId="24" fillId="33" borderId="16" xfId="0" applyNumberFormat="1" applyFont="1" applyFill="1" applyBorder="1" applyAlignment="1" applyProtection="1">
      <alignment/>
      <protection/>
    </xf>
    <xf numFmtId="9" fontId="24" fillId="33" borderId="17" xfId="54" applyFont="1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left"/>
      <protection/>
    </xf>
    <xf numFmtId="190" fontId="24" fillId="33" borderId="0" xfId="0" applyNumberFormat="1" applyFont="1" applyFill="1" applyBorder="1" applyAlignment="1" applyProtection="1">
      <alignment/>
      <protection/>
    </xf>
    <xf numFmtId="0" fontId="24" fillId="33" borderId="12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 horizontal="center"/>
      <protection/>
    </xf>
    <xf numFmtId="43" fontId="24" fillId="33" borderId="12" xfId="47" applyFont="1" applyFill="1" applyBorder="1" applyAlignment="1" applyProtection="1">
      <alignment/>
      <protection/>
    </xf>
    <xf numFmtId="7" fontId="24" fillId="33" borderId="0" xfId="0" applyNumberFormat="1" applyFont="1" applyFill="1" applyBorder="1" applyAlignment="1" applyProtection="1">
      <alignment/>
      <protection/>
    </xf>
    <xf numFmtId="197" fontId="24" fillId="33" borderId="12" xfId="47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10" fontId="24" fillId="33" borderId="12" xfId="0" applyNumberFormat="1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 horizontal="left"/>
      <protection/>
    </xf>
    <xf numFmtId="0" fontId="24" fillId="33" borderId="14" xfId="0" applyFont="1" applyFill="1" applyBorder="1" applyAlignment="1">
      <alignment/>
    </xf>
    <xf numFmtId="0" fontId="24" fillId="33" borderId="15" xfId="0" applyFont="1" applyFill="1" applyBorder="1" applyAlignment="1" applyProtection="1">
      <alignment horizontal="center"/>
      <protection/>
    </xf>
    <xf numFmtId="191" fontId="24" fillId="33" borderId="15" xfId="0" applyNumberFormat="1" applyFont="1" applyFill="1" applyBorder="1" applyAlignment="1" applyProtection="1">
      <alignment/>
      <protection/>
    </xf>
    <xf numFmtId="39" fontId="24" fillId="33" borderId="15" xfId="0" applyNumberFormat="1" applyFont="1" applyFill="1" applyBorder="1" applyAlignment="1" applyProtection="1">
      <alignment/>
      <protection/>
    </xf>
    <xf numFmtId="43" fontId="24" fillId="33" borderId="15" xfId="47" applyFont="1" applyFill="1" applyBorder="1" applyAlignment="1" applyProtection="1">
      <alignment/>
      <protection/>
    </xf>
    <xf numFmtId="9" fontId="24" fillId="33" borderId="18" xfId="54" applyFont="1" applyFill="1" applyBorder="1" applyAlignment="1">
      <alignment horizontal="center"/>
    </xf>
    <xf numFmtId="0" fontId="24" fillId="33" borderId="0" xfId="0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 applyProtection="1">
      <alignment horizontal="center"/>
      <protection/>
    </xf>
    <xf numFmtId="39" fontId="24" fillId="33" borderId="0" xfId="0" applyNumberFormat="1" applyFont="1" applyFill="1" applyBorder="1" applyAlignment="1" applyProtection="1">
      <alignment/>
      <protection/>
    </xf>
    <xf numFmtId="43" fontId="24" fillId="33" borderId="0" xfId="47" applyFont="1" applyFill="1" applyAlignment="1" applyProtection="1">
      <alignment/>
      <protection/>
    </xf>
    <xf numFmtId="0" fontId="24" fillId="33" borderId="19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191" fontId="24" fillId="33" borderId="16" xfId="0" applyNumberFormat="1" applyFont="1" applyFill="1" applyBorder="1" applyAlignment="1" applyProtection="1">
      <alignment/>
      <protection/>
    </xf>
    <xf numFmtId="0" fontId="24" fillId="33" borderId="16" xfId="0" applyFont="1" applyFill="1" applyBorder="1" applyAlignment="1">
      <alignment horizontal="center"/>
    </xf>
    <xf numFmtId="39" fontId="24" fillId="33" borderId="16" xfId="0" applyNumberFormat="1" applyFont="1" applyFill="1" applyBorder="1" applyAlignment="1" applyProtection="1">
      <alignment/>
      <protection/>
    </xf>
    <xf numFmtId="43" fontId="24" fillId="33" borderId="16" xfId="47" applyFont="1" applyFill="1" applyBorder="1" applyAlignment="1" applyProtection="1">
      <alignment/>
      <protection/>
    </xf>
    <xf numFmtId="9" fontId="24" fillId="33" borderId="21" xfId="54" applyFont="1" applyFill="1" applyBorder="1" applyAlignment="1">
      <alignment horizontal="center"/>
    </xf>
    <xf numFmtId="0" fontId="24" fillId="33" borderId="15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7" fontId="24" fillId="33" borderId="12" xfId="0" applyNumberFormat="1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 horizontal="fill"/>
      <protection/>
    </xf>
    <xf numFmtId="0" fontId="24" fillId="33" borderId="14" xfId="0" applyFont="1" applyFill="1" applyBorder="1" applyAlignment="1" applyProtection="1">
      <alignment horizontal="fill"/>
      <protection/>
    </xf>
    <xf numFmtId="0" fontId="24" fillId="33" borderId="15" xfId="0" applyFont="1" applyFill="1" applyBorder="1" applyAlignment="1" applyProtection="1">
      <alignment horizontal="fill"/>
      <protection/>
    </xf>
    <xf numFmtId="0" fontId="24" fillId="33" borderId="22" xfId="0" applyFont="1" applyFill="1" applyBorder="1" applyAlignment="1" applyProtection="1">
      <alignment horizontal="fill"/>
      <protection/>
    </xf>
    <xf numFmtId="187" fontId="24" fillId="33" borderId="0" xfId="0" applyNumberFormat="1" applyFont="1" applyFill="1" applyAlignment="1" applyProtection="1">
      <alignment/>
      <protection/>
    </xf>
    <xf numFmtId="0" fontId="27" fillId="33" borderId="19" xfId="0" applyFont="1" applyFill="1" applyBorder="1" applyAlignment="1" applyProtection="1">
      <alignment horizontal="left"/>
      <protection/>
    </xf>
    <xf numFmtId="0" fontId="24" fillId="33" borderId="20" xfId="0" applyFont="1" applyFill="1" applyBorder="1" applyAlignment="1" applyProtection="1">
      <alignment horizontal="fill"/>
      <protection/>
    </xf>
    <xf numFmtId="190" fontId="24" fillId="33" borderId="20" xfId="0" applyNumberFormat="1" applyFont="1" applyFill="1" applyBorder="1" applyAlignment="1" applyProtection="1">
      <alignment horizontal="fill"/>
      <protection/>
    </xf>
    <xf numFmtId="43" fontId="24" fillId="33" borderId="0" xfId="47" applyFont="1" applyFill="1" applyAlignment="1">
      <alignment horizontal="center"/>
    </xf>
    <xf numFmtId="190" fontId="24" fillId="33" borderId="17" xfId="0" applyNumberFormat="1" applyFont="1" applyFill="1" applyBorder="1" applyAlignment="1" applyProtection="1">
      <alignment/>
      <protection/>
    </xf>
    <xf numFmtId="39" fontId="24" fillId="33" borderId="17" xfId="0" applyNumberFormat="1" applyFont="1" applyFill="1" applyBorder="1" applyAlignment="1" applyProtection="1">
      <alignment/>
      <protection/>
    </xf>
    <xf numFmtId="189" fontId="54" fillId="33" borderId="0" xfId="0" applyNumberFormat="1" applyFont="1" applyFill="1" applyAlignment="1">
      <alignment/>
    </xf>
    <xf numFmtId="0" fontId="53" fillId="35" borderId="13" xfId="0" applyFont="1" applyFill="1" applyBorder="1" applyAlignment="1" applyProtection="1">
      <alignment horizontal="left"/>
      <protection/>
    </xf>
    <xf numFmtId="0" fontId="54" fillId="35" borderId="14" xfId="0" applyFont="1" applyFill="1" applyBorder="1" applyAlignment="1" applyProtection="1">
      <alignment horizontal="fill"/>
      <protection/>
    </xf>
    <xf numFmtId="0" fontId="54" fillId="35" borderId="14" xfId="0" applyFont="1" applyFill="1" applyBorder="1" applyAlignment="1">
      <alignment/>
    </xf>
    <xf numFmtId="189" fontId="53" fillId="35" borderId="18" xfId="0" applyNumberFormat="1" applyFont="1" applyFill="1" applyBorder="1" applyAlignment="1" applyProtection="1">
      <alignment/>
      <protection/>
    </xf>
    <xf numFmtId="187" fontId="54" fillId="33" borderId="0" xfId="0" applyNumberFormat="1" applyFont="1" applyFill="1" applyBorder="1" applyAlignment="1" applyProtection="1">
      <alignment/>
      <protection/>
    </xf>
    <xf numFmtId="43" fontId="24" fillId="33" borderId="0" xfId="47" applyFont="1" applyFill="1" applyBorder="1" applyAlignment="1">
      <alignment horizontal="center"/>
    </xf>
    <xf numFmtId="189" fontId="29" fillId="33" borderId="0" xfId="0" applyNumberFormat="1" applyFont="1" applyFill="1" applyBorder="1" applyAlignment="1" applyProtection="1">
      <alignment/>
      <protection/>
    </xf>
    <xf numFmtId="9" fontId="24" fillId="33" borderId="0" xfId="54" applyFont="1" applyFill="1" applyBorder="1" applyAlignment="1">
      <alignment horizontal="center"/>
    </xf>
    <xf numFmtId="0" fontId="24" fillId="33" borderId="19" xfId="0" applyFont="1" applyFill="1" applyBorder="1" applyAlignment="1" applyProtection="1">
      <alignment horizontal="left"/>
      <protection/>
    </xf>
    <xf numFmtId="0" fontId="24" fillId="33" borderId="23" xfId="0" applyFont="1" applyFill="1" applyBorder="1" applyAlignment="1" applyProtection="1">
      <alignment horizontal="fill"/>
      <protection/>
    </xf>
    <xf numFmtId="0" fontId="24" fillId="33" borderId="16" xfId="0" applyFont="1" applyFill="1" applyBorder="1" applyAlignment="1" applyProtection="1">
      <alignment horizontal="fill"/>
      <protection/>
    </xf>
    <xf numFmtId="39" fontId="24" fillId="33" borderId="21" xfId="0" applyNumberFormat="1" applyFont="1" applyFill="1" applyBorder="1" applyAlignment="1" applyProtection="1">
      <alignment/>
      <protection/>
    </xf>
    <xf numFmtId="0" fontId="24" fillId="33" borderId="24" xfId="0" applyFont="1" applyFill="1" applyBorder="1" applyAlignment="1">
      <alignment/>
    </xf>
    <xf numFmtId="188" fontId="24" fillId="33" borderId="12" xfId="0" applyNumberFormat="1" applyFont="1" applyFill="1" applyBorder="1" applyAlignment="1" applyProtection="1">
      <alignment/>
      <protection/>
    </xf>
    <xf numFmtId="10" fontId="24" fillId="33" borderId="17" xfId="0" applyNumberFormat="1" applyFont="1" applyFill="1" applyBorder="1" applyAlignment="1" applyProtection="1">
      <alignment/>
      <protection/>
    </xf>
    <xf numFmtId="199" fontId="24" fillId="33" borderId="0" xfId="0" applyNumberFormat="1" applyFont="1" applyFill="1" applyAlignment="1" applyProtection="1">
      <alignment/>
      <protection/>
    </xf>
    <xf numFmtId="0" fontId="24" fillId="33" borderId="25" xfId="0" applyFont="1" applyFill="1" applyBorder="1" applyAlignment="1" applyProtection="1">
      <alignment horizontal="fill"/>
      <protection/>
    </xf>
    <xf numFmtId="0" fontId="24" fillId="33" borderId="18" xfId="0" applyFont="1" applyFill="1" applyBorder="1" applyAlignment="1" applyProtection="1">
      <alignment horizontal="fill"/>
      <protection/>
    </xf>
    <xf numFmtId="0" fontId="24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212" fontId="54" fillId="33" borderId="0" xfId="0" applyNumberFormat="1" applyFont="1" applyFill="1" applyAlignment="1">
      <alignment/>
    </xf>
    <xf numFmtId="191" fontId="24" fillId="33" borderId="12" xfId="0" applyNumberFormat="1" applyFont="1" applyFill="1" applyBorder="1" applyAlignment="1" applyProtection="1">
      <alignment vertical="center"/>
      <protection/>
    </xf>
    <xf numFmtId="0" fontId="24" fillId="33" borderId="12" xfId="0" applyFont="1" applyFill="1" applyBorder="1" applyAlignment="1">
      <alignment horizontal="center" vertical="center"/>
    </xf>
    <xf numFmtId="39" fontId="24" fillId="33" borderId="12" xfId="0" applyNumberFormat="1" applyFont="1" applyFill="1" applyBorder="1" applyAlignment="1" applyProtection="1">
      <alignment vertical="center"/>
      <protection/>
    </xf>
    <xf numFmtId="43" fontId="24" fillId="33" borderId="12" xfId="47" applyFont="1" applyFill="1" applyBorder="1" applyAlignment="1" applyProtection="1">
      <alignment vertical="center"/>
      <protection/>
    </xf>
    <xf numFmtId="9" fontId="24" fillId="33" borderId="17" xfId="54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/>
    </xf>
    <xf numFmtId="43" fontId="27" fillId="33" borderId="17" xfId="47" applyFont="1" applyFill="1" applyBorder="1" applyAlignment="1" applyProtection="1">
      <alignment/>
      <protection/>
    </xf>
    <xf numFmtId="187" fontId="24" fillId="33" borderId="0" xfId="0" applyNumberFormat="1" applyFont="1" applyFill="1" applyBorder="1" applyAlignment="1" applyProtection="1">
      <alignment/>
      <protection/>
    </xf>
    <xf numFmtId="0" fontId="24" fillId="33" borderId="26" xfId="0" applyFont="1" applyFill="1" applyBorder="1" applyAlignment="1" applyProtection="1">
      <alignment horizontal="fill"/>
      <protection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3" fillId="34" borderId="16" xfId="0" applyFont="1" applyFill="1" applyBorder="1" applyAlignment="1">
      <alignment horizontal="center" vertical="justify"/>
    </xf>
    <xf numFmtId="0" fontId="53" fillId="34" borderId="12" xfId="0" applyFont="1" applyFill="1" applyBorder="1" applyAlignment="1">
      <alignment horizontal="center" vertical="justify"/>
    </xf>
    <xf numFmtId="0" fontId="53" fillId="34" borderId="15" xfId="0" applyFont="1" applyFill="1" applyBorder="1" applyAlignment="1">
      <alignment horizontal="center" vertical="justify"/>
    </xf>
    <xf numFmtId="9" fontId="53" fillId="34" borderId="21" xfId="54" applyFont="1" applyFill="1" applyBorder="1" applyAlignment="1">
      <alignment horizontal="center" vertical="justify"/>
    </xf>
    <xf numFmtId="9" fontId="53" fillId="34" borderId="17" xfId="54" applyFont="1" applyFill="1" applyBorder="1" applyAlignment="1">
      <alignment horizontal="center" vertical="justify"/>
    </xf>
    <xf numFmtId="9" fontId="53" fillId="34" borderId="18" xfId="54" applyFont="1" applyFill="1" applyBorder="1" applyAlignment="1">
      <alignment horizontal="center" vertical="justify"/>
    </xf>
    <xf numFmtId="0" fontId="58" fillId="34" borderId="19" xfId="0" applyFont="1" applyFill="1" applyBorder="1" applyAlignment="1" applyProtection="1">
      <alignment horizontal="center"/>
      <protection/>
    </xf>
    <xf numFmtId="0" fontId="58" fillId="34" borderId="20" xfId="0" applyFont="1" applyFill="1" applyBorder="1" applyAlignment="1" applyProtection="1">
      <alignment horizontal="center"/>
      <protection/>
    </xf>
    <xf numFmtId="0" fontId="58" fillId="34" borderId="23" xfId="0" applyFont="1" applyFill="1" applyBorder="1" applyAlignment="1" applyProtection="1">
      <alignment horizontal="center"/>
      <protection/>
    </xf>
    <xf numFmtId="0" fontId="58" fillId="34" borderId="27" xfId="0" applyFont="1" applyFill="1" applyBorder="1" applyAlignment="1" applyProtection="1">
      <alignment horizontal="center"/>
      <protection/>
    </xf>
    <xf numFmtId="0" fontId="58" fillId="34" borderId="28" xfId="0" applyFont="1" applyFill="1" applyBorder="1" applyAlignment="1" applyProtection="1">
      <alignment horizontal="center"/>
      <protection/>
    </xf>
    <xf numFmtId="0" fontId="58" fillId="34" borderId="29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24" fillId="33" borderId="10" xfId="0" applyFont="1" applyFill="1" applyBorder="1" applyAlignment="1" applyProtection="1">
      <alignment horizontal="left" wrapText="1"/>
      <protection/>
    </xf>
    <xf numFmtId="0" fontId="24" fillId="33" borderId="0" xfId="0" applyFont="1" applyFill="1" applyBorder="1" applyAlignment="1" applyProtection="1">
      <alignment horizontal="left" wrapText="1"/>
      <protection/>
    </xf>
    <xf numFmtId="0" fontId="24" fillId="33" borderId="24" xfId="0" applyFont="1" applyFill="1" applyBorder="1" applyAlignment="1" applyProtection="1">
      <alignment horizontal="left" wrapText="1"/>
      <protection/>
    </xf>
    <xf numFmtId="0" fontId="5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85725</xdr:rowOff>
    </xdr:from>
    <xdr:to>
      <xdr:col>5</xdr:col>
      <xdr:colOff>647700</xdr:colOff>
      <xdr:row>1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85725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64">
      <selection activeCell="A83" sqref="A83:J83"/>
    </sheetView>
  </sheetViews>
  <sheetFormatPr defaultColWidth="11.00390625" defaultRowHeight="12.75"/>
  <cols>
    <col min="1" max="1" width="16.421875" style="1" customWidth="1"/>
    <col min="2" max="2" width="10.140625" style="1" customWidth="1"/>
    <col min="3" max="3" width="10.28125" style="1" customWidth="1"/>
    <col min="4" max="4" width="9.57421875" style="1" customWidth="1"/>
    <col min="5" max="5" width="9.421875" style="1" customWidth="1"/>
    <col min="6" max="6" width="9.8515625" style="1" customWidth="1"/>
    <col min="7" max="7" width="11.57421875" style="1" customWidth="1"/>
    <col min="8" max="9" width="10.8515625" style="1" customWidth="1"/>
    <col min="10" max="10" width="13.00390625" style="3" customWidth="1"/>
    <col min="11" max="11" width="12.421875" style="4" bestFit="1" customWidth="1"/>
    <col min="12" max="15" width="11.00390625" style="4" customWidth="1"/>
    <col min="16" max="16" width="12.140625" style="4" customWidth="1"/>
    <col min="17" max="16384" width="11.00390625" style="1" customWidth="1"/>
  </cols>
  <sheetData>
    <row r="1" spans="5:10" s="4" customFormat="1" ht="33.75" customHeight="1">
      <c r="E1" s="118"/>
      <c r="J1" s="5"/>
    </row>
    <row r="2" spans="1:10" ht="18.75" customHeight="1">
      <c r="A2" s="135" t="s">
        <v>102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4.25" customHeight="1">
      <c r="A3" s="135" t="s">
        <v>103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7.75" customHeight="1">
      <c r="A4" s="135" t="s">
        <v>112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4.5" customHeight="1">
      <c r="A5" s="14"/>
      <c r="B5" s="14"/>
      <c r="C5" s="14"/>
      <c r="D5" s="14"/>
      <c r="E5" s="14"/>
      <c r="F5" s="14"/>
      <c r="G5" s="14"/>
      <c r="H5" s="14"/>
      <c r="I5" s="14"/>
      <c r="J5" s="15"/>
    </row>
    <row r="6" spans="1:16" s="13" customFormat="1" ht="15.75">
      <c r="A6" s="16"/>
      <c r="B6" s="16"/>
      <c r="C6" s="17"/>
      <c r="D6" s="17"/>
      <c r="E6" s="17"/>
      <c r="F6" s="18" t="s">
        <v>66</v>
      </c>
      <c r="G6" s="19"/>
      <c r="H6" s="17" t="s">
        <v>77</v>
      </c>
      <c r="I6" s="17"/>
      <c r="J6" s="20" t="s">
        <v>61</v>
      </c>
      <c r="K6" s="17"/>
      <c r="L6" s="17"/>
      <c r="M6" s="17"/>
      <c r="N6" s="17"/>
      <c r="O6" s="17"/>
      <c r="P6" s="17"/>
    </row>
    <row r="7" spans="1:16" s="13" customFormat="1" ht="12.75">
      <c r="A7" s="16" t="s">
        <v>59</v>
      </c>
      <c r="B7" s="16" t="s">
        <v>58</v>
      </c>
      <c r="C7" s="17"/>
      <c r="D7" s="17"/>
      <c r="E7" s="17"/>
      <c r="F7" s="18" t="s">
        <v>65</v>
      </c>
      <c r="G7" s="19"/>
      <c r="H7" s="17" t="s">
        <v>77</v>
      </c>
      <c r="I7" s="17"/>
      <c r="J7" s="21" t="s">
        <v>62</v>
      </c>
      <c r="K7" s="17"/>
      <c r="L7" s="17"/>
      <c r="M7" s="17"/>
      <c r="N7" s="17"/>
      <c r="O7" s="17"/>
      <c r="P7" s="17"/>
    </row>
    <row r="8" spans="1:16" s="13" customFormat="1" ht="12.75">
      <c r="A8" s="16" t="s">
        <v>57</v>
      </c>
      <c r="B8" s="17"/>
      <c r="C8" s="17"/>
      <c r="D8" s="17"/>
      <c r="E8" s="17"/>
      <c r="F8" s="18" t="s">
        <v>64</v>
      </c>
      <c r="G8" s="19"/>
      <c r="H8" s="17" t="s">
        <v>77</v>
      </c>
      <c r="I8" s="17"/>
      <c r="J8" s="21" t="s">
        <v>63</v>
      </c>
      <c r="K8" s="17"/>
      <c r="L8" s="17"/>
      <c r="M8" s="17"/>
      <c r="N8" s="17"/>
      <c r="O8" s="17"/>
      <c r="P8" s="17"/>
    </row>
    <row r="9" spans="1:16" s="13" customFormat="1" ht="12.75">
      <c r="A9" s="17"/>
      <c r="B9" s="17"/>
      <c r="C9" s="19"/>
      <c r="D9" s="22" t="s">
        <v>72</v>
      </c>
      <c r="E9" s="17"/>
      <c r="F9" s="18" t="s">
        <v>69</v>
      </c>
      <c r="G9" s="19"/>
      <c r="H9" s="17" t="s">
        <v>77</v>
      </c>
      <c r="I9" s="17"/>
      <c r="J9" s="21" t="s">
        <v>67</v>
      </c>
      <c r="K9" s="17"/>
      <c r="L9" s="17"/>
      <c r="M9" s="17"/>
      <c r="N9" s="17"/>
      <c r="O9" s="17"/>
      <c r="P9" s="17"/>
    </row>
    <row r="10" spans="1:16" s="13" customFormat="1" ht="12.75">
      <c r="A10" s="23" t="s">
        <v>56</v>
      </c>
      <c r="B10" s="23" t="s">
        <v>55</v>
      </c>
      <c r="C10" s="22" t="s">
        <v>71</v>
      </c>
      <c r="D10" s="22" t="s">
        <v>71</v>
      </c>
      <c r="E10" s="24"/>
      <c r="F10" s="18" t="s">
        <v>70</v>
      </c>
      <c r="G10" s="19"/>
      <c r="H10" s="17" t="s">
        <v>77</v>
      </c>
      <c r="I10" s="17"/>
      <c r="J10" s="21" t="s">
        <v>68</v>
      </c>
      <c r="K10" s="17"/>
      <c r="L10" s="17"/>
      <c r="M10" s="17"/>
      <c r="N10" s="17"/>
      <c r="O10" s="17"/>
      <c r="P10" s="17"/>
    </row>
    <row r="11" spans="1:16" s="13" customFormat="1" ht="12.75">
      <c r="A11" s="26" t="s">
        <v>78</v>
      </c>
      <c r="B11" s="27">
        <v>30.9</v>
      </c>
      <c r="C11" s="28" t="s">
        <v>54</v>
      </c>
      <c r="D11" s="25">
        <f>(H76/B11)</f>
        <v>1025.9122800096347</v>
      </c>
      <c r="E11" s="17"/>
      <c r="F11" s="18" t="s">
        <v>53</v>
      </c>
      <c r="G11" s="19"/>
      <c r="H11" s="17" t="s">
        <v>77</v>
      </c>
      <c r="I11" s="17"/>
      <c r="J11" s="21" t="s">
        <v>52</v>
      </c>
      <c r="K11" s="17"/>
      <c r="L11" s="17"/>
      <c r="M11" s="17"/>
      <c r="N11" s="17"/>
      <c r="O11" s="17"/>
      <c r="P11" s="17"/>
    </row>
    <row r="12" spans="1:16" s="13" customFormat="1" ht="12.75">
      <c r="A12" s="26"/>
      <c r="B12" s="16"/>
      <c r="C12" s="17"/>
      <c r="D12" s="25"/>
      <c r="E12" s="17"/>
      <c r="F12" s="18" t="s">
        <v>51</v>
      </c>
      <c r="G12" s="19"/>
      <c r="H12" s="17" t="s">
        <v>77</v>
      </c>
      <c r="I12" s="17"/>
      <c r="J12" s="21" t="s">
        <v>50</v>
      </c>
      <c r="K12" s="17"/>
      <c r="L12" s="17"/>
      <c r="M12" s="17"/>
      <c r="N12" s="17"/>
      <c r="O12" s="17"/>
      <c r="P12" s="17"/>
    </row>
    <row r="13" spans="1:16" s="13" customFormat="1" ht="12.75">
      <c r="A13" s="17"/>
      <c r="B13" s="17"/>
      <c r="C13" s="29"/>
      <c r="D13" s="30"/>
      <c r="E13" s="17"/>
      <c r="F13" s="18" t="s">
        <v>47</v>
      </c>
      <c r="G13" s="19"/>
      <c r="H13" s="17" t="s">
        <v>77</v>
      </c>
      <c r="I13" s="17"/>
      <c r="J13" s="21" t="s">
        <v>46</v>
      </c>
      <c r="K13" s="17"/>
      <c r="L13" s="17"/>
      <c r="M13" s="17"/>
      <c r="N13" s="17"/>
      <c r="O13" s="17"/>
      <c r="P13" s="17"/>
    </row>
    <row r="14" spans="1:16" s="13" customFormat="1" ht="13.5" customHeight="1">
      <c r="A14" s="17"/>
      <c r="B14" s="17"/>
      <c r="C14" s="17"/>
      <c r="D14" s="17"/>
      <c r="E14" s="31"/>
      <c r="F14" s="18" t="s">
        <v>44</v>
      </c>
      <c r="G14" s="19"/>
      <c r="H14" s="17" t="s">
        <v>77</v>
      </c>
      <c r="I14" s="17"/>
      <c r="J14" s="21" t="s">
        <v>43</v>
      </c>
      <c r="K14" s="17"/>
      <c r="L14" s="17"/>
      <c r="M14" s="17"/>
      <c r="N14" s="17"/>
      <c r="O14" s="17"/>
      <c r="P14" s="17"/>
    </row>
    <row r="15" spans="1:16" s="13" customFormat="1" ht="15">
      <c r="A15" s="16" t="s">
        <v>49</v>
      </c>
      <c r="B15" s="32" t="s">
        <v>48</v>
      </c>
      <c r="C15" s="33" t="s">
        <v>75</v>
      </c>
      <c r="D15" s="34" t="s">
        <v>101</v>
      </c>
      <c r="E15" s="17"/>
      <c r="F15" s="18" t="s">
        <v>42</v>
      </c>
      <c r="G15" s="19"/>
      <c r="H15" s="17" t="s">
        <v>77</v>
      </c>
      <c r="I15" s="17"/>
      <c r="J15" s="21" t="s">
        <v>41</v>
      </c>
      <c r="K15" s="17"/>
      <c r="L15" s="17"/>
      <c r="M15" s="17"/>
      <c r="N15" s="17"/>
      <c r="O15" s="17"/>
      <c r="P15" s="17"/>
    </row>
    <row r="16" spans="1:16" s="13" customFormat="1" ht="13.5" thickBot="1">
      <c r="A16" s="16" t="s">
        <v>45</v>
      </c>
      <c r="B16" s="35">
        <v>650</v>
      </c>
      <c r="C16" s="17"/>
      <c r="D16" s="17"/>
      <c r="E16" s="17"/>
      <c r="F16" s="18" t="s">
        <v>40</v>
      </c>
      <c r="G16" s="19"/>
      <c r="H16" s="17" t="s">
        <v>77</v>
      </c>
      <c r="I16" s="17"/>
      <c r="J16" s="21" t="s">
        <v>39</v>
      </c>
      <c r="K16" s="17"/>
      <c r="L16" s="17"/>
      <c r="M16" s="17"/>
      <c r="N16" s="17"/>
      <c r="O16" s="17"/>
      <c r="P16" s="17"/>
    </row>
    <row r="17" spans="1:16" s="13" customFormat="1" ht="16.5" customHeight="1">
      <c r="A17" s="144" t="s">
        <v>38</v>
      </c>
      <c r="B17" s="145"/>
      <c r="C17" s="145"/>
      <c r="D17" s="145"/>
      <c r="E17" s="145"/>
      <c r="F17" s="145"/>
      <c r="G17" s="145"/>
      <c r="H17" s="146"/>
      <c r="I17" s="138" t="s">
        <v>76</v>
      </c>
      <c r="J17" s="141" t="s">
        <v>104</v>
      </c>
      <c r="K17" s="17"/>
      <c r="L17" s="17"/>
      <c r="M17" s="17"/>
      <c r="N17" s="17"/>
      <c r="O17" s="17"/>
      <c r="P17" s="17"/>
    </row>
    <row r="18" spans="1:16" s="13" customFormat="1" ht="4.5" customHeight="1">
      <c r="A18" s="147"/>
      <c r="B18" s="148"/>
      <c r="C18" s="148"/>
      <c r="D18" s="148"/>
      <c r="E18" s="148"/>
      <c r="F18" s="148"/>
      <c r="G18" s="148"/>
      <c r="H18" s="149"/>
      <c r="I18" s="139"/>
      <c r="J18" s="142"/>
      <c r="K18" s="17"/>
      <c r="L18" s="17"/>
      <c r="M18" s="17"/>
      <c r="N18" s="17"/>
      <c r="O18" s="17"/>
      <c r="P18" s="17"/>
    </row>
    <row r="19" spans="1:16" s="13" customFormat="1" ht="10.5" customHeight="1">
      <c r="A19" s="38"/>
      <c r="B19" s="39"/>
      <c r="C19" s="39"/>
      <c r="D19" s="40"/>
      <c r="E19" s="40"/>
      <c r="F19" s="40"/>
      <c r="G19" s="41" t="s">
        <v>37</v>
      </c>
      <c r="H19" s="41" t="s">
        <v>36</v>
      </c>
      <c r="I19" s="139"/>
      <c r="J19" s="142"/>
      <c r="K19" s="17"/>
      <c r="L19" s="17"/>
      <c r="M19" s="17"/>
      <c r="N19" s="17"/>
      <c r="O19" s="17"/>
      <c r="P19" s="17"/>
    </row>
    <row r="20" spans="1:16" s="13" customFormat="1" ht="9.75" customHeight="1">
      <c r="A20" s="42" t="s">
        <v>35</v>
      </c>
      <c r="B20" s="39"/>
      <c r="C20" s="39"/>
      <c r="D20" s="43" t="s">
        <v>34</v>
      </c>
      <c r="E20" s="43" t="s">
        <v>60</v>
      </c>
      <c r="F20" s="43" t="s">
        <v>33</v>
      </c>
      <c r="G20" s="44" t="s">
        <v>32</v>
      </c>
      <c r="H20" s="44" t="s">
        <v>31</v>
      </c>
      <c r="I20" s="139"/>
      <c r="J20" s="142"/>
      <c r="K20" s="17"/>
      <c r="L20" s="17"/>
      <c r="M20" s="17"/>
      <c r="N20" s="17"/>
      <c r="O20" s="17"/>
      <c r="P20" s="17"/>
    </row>
    <row r="21" spans="1:16" s="13" customFormat="1" ht="3" customHeight="1" thickBot="1">
      <c r="A21" s="45"/>
      <c r="B21" s="46"/>
      <c r="C21" s="46"/>
      <c r="D21" s="47"/>
      <c r="E21" s="47"/>
      <c r="F21" s="47"/>
      <c r="G21" s="47"/>
      <c r="H21" s="47"/>
      <c r="I21" s="140"/>
      <c r="J21" s="143"/>
      <c r="K21" s="17"/>
      <c r="L21" s="17"/>
      <c r="M21" s="17"/>
      <c r="N21" s="17"/>
      <c r="O21" s="17"/>
      <c r="P21" s="17"/>
    </row>
    <row r="22" spans="1:16" s="13" customFormat="1" ht="15.75" customHeight="1">
      <c r="A22" s="48" t="s">
        <v>30</v>
      </c>
      <c r="B22" s="49"/>
      <c r="C22" s="49"/>
      <c r="D22" s="50"/>
      <c r="E22" s="51"/>
      <c r="F22" s="52"/>
      <c r="G22" s="53"/>
      <c r="H22" s="53"/>
      <c r="I22" s="54"/>
      <c r="J22" s="55"/>
      <c r="K22" s="17"/>
      <c r="L22" s="17"/>
      <c r="M22" s="17"/>
      <c r="N22" s="17"/>
      <c r="O22" s="17"/>
      <c r="P22" s="17"/>
    </row>
    <row r="23" spans="1:16" s="13" customFormat="1" ht="12.75">
      <c r="A23" s="56" t="s">
        <v>80</v>
      </c>
      <c r="B23" s="49"/>
      <c r="C23" s="57"/>
      <c r="D23" s="58"/>
      <c r="E23" s="51">
        <v>3.3742</v>
      </c>
      <c r="F23" s="59" t="s">
        <v>29</v>
      </c>
      <c r="G23" s="53">
        <v>4500</v>
      </c>
      <c r="H23" s="53">
        <f aca="true" t="shared" si="0" ref="H23:H39">IF(E23*G23,+E23*G23,"        ")</f>
        <v>15183.9</v>
      </c>
      <c r="I23" s="60">
        <f aca="true" t="shared" si="1" ref="I23:I39">E23/B$11</f>
        <v>0.10919741100323625</v>
      </c>
      <c r="J23" s="55">
        <f aca="true" t="shared" si="2" ref="J23:J39">H23/H$76</f>
        <v>0.4789769642975209</v>
      </c>
      <c r="K23" s="17"/>
      <c r="L23" s="17"/>
      <c r="M23" s="17"/>
      <c r="N23" s="17"/>
      <c r="O23" s="17"/>
      <c r="P23" s="17"/>
    </row>
    <row r="24" spans="1:16" s="13" customFormat="1" ht="12.75">
      <c r="A24" s="56" t="s">
        <v>81</v>
      </c>
      <c r="B24" s="49"/>
      <c r="C24" s="61"/>
      <c r="D24" s="50"/>
      <c r="E24" s="51">
        <f>33.36/29.09</f>
        <v>1.146785837057408</v>
      </c>
      <c r="F24" s="59" t="s">
        <v>29</v>
      </c>
      <c r="G24" s="53">
        <v>1530</v>
      </c>
      <c r="H24" s="53">
        <f t="shared" si="0"/>
        <v>1754.5823306978343</v>
      </c>
      <c r="I24" s="60">
        <f t="shared" si="1"/>
        <v>0.037112810260757544</v>
      </c>
      <c r="J24" s="55">
        <f t="shared" si="2"/>
        <v>0.0553483965494845</v>
      </c>
      <c r="K24" s="119"/>
      <c r="L24" s="17"/>
      <c r="M24" s="17"/>
      <c r="N24" s="17"/>
      <c r="O24" s="17"/>
      <c r="P24" s="17"/>
    </row>
    <row r="25" spans="1:16" s="13" customFormat="1" ht="12.75">
      <c r="A25" s="56" t="s">
        <v>82</v>
      </c>
      <c r="B25" s="49"/>
      <c r="C25" s="61"/>
      <c r="D25" s="50"/>
      <c r="E25" s="51">
        <f>6.13/28.17</f>
        <v>0.21760738374156902</v>
      </c>
      <c r="F25" s="59" t="s">
        <v>29</v>
      </c>
      <c r="G25" s="53">
        <v>1650</v>
      </c>
      <c r="H25" s="53">
        <f t="shared" si="0"/>
        <v>359.0521831735889</v>
      </c>
      <c r="I25" s="60">
        <f t="shared" si="1"/>
        <v>0.007042310153448836</v>
      </c>
      <c r="J25" s="55">
        <f t="shared" si="2"/>
        <v>0.011326320953172968</v>
      </c>
      <c r="K25" s="17"/>
      <c r="L25" s="17"/>
      <c r="M25" s="17"/>
      <c r="N25" s="17"/>
      <c r="O25" s="17"/>
      <c r="P25" s="17"/>
    </row>
    <row r="26" spans="1:16" s="13" customFormat="1" ht="12.75">
      <c r="A26" s="56" t="s">
        <v>83</v>
      </c>
      <c r="B26" s="49"/>
      <c r="C26" s="61"/>
      <c r="D26" s="50"/>
      <c r="E26" s="51">
        <f>2.13/24.5</f>
        <v>0.08693877551020408</v>
      </c>
      <c r="F26" s="59" t="s">
        <v>27</v>
      </c>
      <c r="G26" s="53">
        <v>1310</v>
      </c>
      <c r="H26" s="53">
        <f>IF(E26*G26,+E26*G26,"        ")</f>
        <v>113.88979591836735</v>
      </c>
      <c r="I26" s="60">
        <f t="shared" si="1"/>
        <v>0.002813552605508223</v>
      </c>
      <c r="J26" s="55">
        <f t="shared" si="2"/>
        <v>0.0035926599038088886</v>
      </c>
      <c r="K26" s="17"/>
      <c r="L26" s="17"/>
      <c r="M26" s="17"/>
      <c r="N26" s="17"/>
      <c r="O26" s="17"/>
      <c r="P26" s="17"/>
    </row>
    <row r="27" spans="1:16" s="13" customFormat="1" ht="12.75">
      <c r="A27" s="56" t="s">
        <v>84</v>
      </c>
      <c r="B27" s="49"/>
      <c r="C27" s="49"/>
      <c r="D27" s="58"/>
      <c r="E27" s="51">
        <f>5.64/44.15</f>
        <v>0.12774631936579842</v>
      </c>
      <c r="F27" s="59" t="s">
        <v>28</v>
      </c>
      <c r="G27" s="53">
        <v>1712</v>
      </c>
      <c r="H27" s="53">
        <f>IF(E27*G27,+E27*G27,"        ")</f>
        <v>218.70169875424688</v>
      </c>
      <c r="I27" s="60">
        <f t="shared" si="1"/>
        <v>0.004134185092744286</v>
      </c>
      <c r="J27" s="55">
        <f t="shared" si="2"/>
        <v>0.006898957168844637</v>
      </c>
      <c r="K27" s="120"/>
      <c r="L27" s="120"/>
      <c r="M27" s="120"/>
      <c r="N27" s="120"/>
      <c r="O27" s="17"/>
      <c r="P27" s="17"/>
    </row>
    <row r="28" spans="1:16" s="13" customFormat="1" ht="12.75">
      <c r="A28" s="56" t="s">
        <v>85</v>
      </c>
      <c r="B28" s="49"/>
      <c r="C28" s="49"/>
      <c r="D28" s="50"/>
      <c r="E28" s="51">
        <f>8.25/24.5</f>
        <v>0.336734693877551</v>
      </c>
      <c r="F28" s="59" t="s">
        <v>28</v>
      </c>
      <c r="G28" s="53">
        <v>590</v>
      </c>
      <c r="H28" s="53">
        <f>IF(E28*G28,+E28*G28,"        ")</f>
        <v>198.6734693877551</v>
      </c>
      <c r="I28" s="60">
        <f t="shared" si="1"/>
        <v>0.01089756290865861</v>
      </c>
      <c r="J28" s="55">
        <f t="shared" si="2"/>
        <v>0.006267165567067972</v>
      </c>
      <c r="K28" s="120"/>
      <c r="L28" s="120"/>
      <c r="M28" s="120"/>
      <c r="N28" s="120"/>
      <c r="O28" s="17"/>
      <c r="P28" s="17"/>
    </row>
    <row r="29" spans="1:16" s="13" customFormat="1" ht="12.75">
      <c r="A29" s="56" t="s">
        <v>86</v>
      </c>
      <c r="B29" s="49"/>
      <c r="C29" s="49"/>
      <c r="D29" s="58"/>
      <c r="E29" s="51">
        <f>2.95/25.45</f>
        <v>0.11591355599214147</v>
      </c>
      <c r="F29" s="59" t="s">
        <v>28</v>
      </c>
      <c r="G29" s="53">
        <v>1588</v>
      </c>
      <c r="H29" s="53">
        <f t="shared" si="0"/>
        <v>184.07072691552065</v>
      </c>
      <c r="I29" s="60">
        <f t="shared" si="1"/>
        <v>0.00375124776673597</v>
      </c>
      <c r="J29" s="55">
        <f t="shared" si="2"/>
        <v>0.005806521249088446</v>
      </c>
      <c r="K29" s="120"/>
      <c r="L29" s="120"/>
      <c r="M29" s="120"/>
      <c r="N29" s="120"/>
      <c r="O29" s="17"/>
      <c r="P29" s="17"/>
    </row>
    <row r="30" spans="1:16" s="13" customFormat="1" ht="12.75">
      <c r="A30" s="56" t="s">
        <v>87</v>
      </c>
      <c r="B30" s="49"/>
      <c r="C30" s="49"/>
      <c r="D30" s="50"/>
      <c r="E30" s="51">
        <f>11.33/70</f>
        <v>0.16185714285714287</v>
      </c>
      <c r="F30" s="59" t="s">
        <v>28</v>
      </c>
      <c r="G30" s="53">
        <v>1352</v>
      </c>
      <c r="H30" s="53">
        <f>IF(E30*G30,+E30*G30,"        ")</f>
        <v>218.83085714285716</v>
      </c>
      <c r="I30" s="60">
        <f t="shared" si="1"/>
        <v>0.005238095238095239</v>
      </c>
      <c r="J30" s="55">
        <f t="shared" si="2"/>
        <v>0.006903031477348389</v>
      </c>
      <c r="K30" s="120"/>
      <c r="L30" s="120"/>
      <c r="M30" s="120"/>
      <c r="N30" s="120"/>
      <c r="O30" s="17"/>
      <c r="P30" s="17"/>
    </row>
    <row r="31" spans="1:16" s="13" customFormat="1" ht="12.75">
      <c r="A31" s="56" t="s">
        <v>88</v>
      </c>
      <c r="B31" s="49"/>
      <c r="C31" s="61"/>
      <c r="D31" s="50"/>
      <c r="E31" s="51">
        <f>2.08/26.17</f>
        <v>0.07948032097821933</v>
      </c>
      <c r="F31" s="59" t="s">
        <v>27</v>
      </c>
      <c r="G31" s="53">
        <v>2625</v>
      </c>
      <c r="H31" s="53">
        <f>IF(E31*G31,+E31*G31,"        ")</f>
        <v>208.63584256782573</v>
      </c>
      <c r="I31" s="60">
        <f t="shared" si="1"/>
        <v>0.002572178672434283</v>
      </c>
      <c r="J31" s="55">
        <f t="shared" si="2"/>
        <v>0.006581429179380308</v>
      </c>
      <c r="K31" s="120"/>
      <c r="L31" s="120"/>
      <c r="M31" s="120"/>
      <c r="N31" s="120"/>
      <c r="O31" s="17"/>
      <c r="P31" s="17"/>
    </row>
    <row r="32" spans="1:16" s="13" customFormat="1" ht="12.75">
      <c r="A32" s="56" t="s">
        <v>89</v>
      </c>
      <c r="B32" s="49"/>
      <c r="C32" s="49"/>
      <c r="D32" s="50"/>
      <c r="E32" s="51">
        <f>2.61/26.67</f>
        <v>0.09786276715410573</v>
      </c>
      <c r="F32" s="59" t="s">
        <v>27</v>
      </c>
      <c r="G32" s="53">
        <v>1470</v>
      </c>
      <c r="H32" s="53">
        <f>IF(E32*G32,+E32*G32,"        ")</f>
        <v>143.85826771653544</v>
      </c>
      <c r="I32" s="60">
        <f t="shared" si="1"/>
        <v>0.003167079843174943</v>
      </c>
      <c r="J32" s="55">
        <f t="shared" si="2"/>
        <v>0.00453801700221723</v>
      </c>
      <c r="K32" s="120"/>
      <c r="L32" s="121"/>
      <c r="M32" s="120"/>
      <c r="N32" s="120"/>
      <c r="O32" s="17"/>
      <c r="P32" s="17"/>
    </row>
    <row r="33" spans="1:16" s="13" customFormat="1" ht="12.75">
      <c r="A33" s="56" t="s">
        <v>90</v>
      </c>
      <c r="B33" s="49"/>
      <c r="C33" s="49"/>
      <c r="D33" s="50"/>
      <c r="E33" s="51">
        <f>4.48/25.67</f>
        <v>0.1745227892481496</v>
      </c>
      <c r="F33" s="59" t="s">
        <v>27</v>
      </c>
      <c r="G33" s="53">
        <v>1117</v>
      </c>
      <c r="H33" s="53">
        <f>IF(E33*G33,+E33*G33,"        ")</f>
        <v>194.94195559018308</v>
      </c>
      <c r="I33" s="60">
        <f t="shared" si="1"/>
        <v>0.0056479867070598575</v>
      </c>
      <c r="J33" s="55">
        <f t="shared" si="2"/>
        <v>0.006149454758185185</v>
      </c>
      <c r="K33" s="120"/>
      <c r="L33" s="121"/>
      <c r="M33" s="120"/>
      <c r="N33" s="120"/>
      <c r="O33" s="17"/>
      <c r="P33" s="17"/>
    </row>
    <row r="34" spans="1:16" s="13" customFormat="1" ht="12.75">
      <c r="A34" s="56" t="s">
        <v>91</v>
      </c>
      <c r="B34" s="49"/>
      <c r="C34" s="49"/>
      <c r="D34" s="50"/>
      <c r="E34" s="51">
        <f>3.25/84.75</f>
        <v>0.038348082595870206</v>
      </c>
      <c r="F34" s="59" t="s">
        <v>27</v>
      </c>
      <c r="G34" s="53">
        <v>8492</v>
      </c>
      <c r="H34" s="53">
        <f>IF(E34*G34,+E34*G34,"        ")</f>
        <v>325.6519174041298</v>
      </c>
      <c r="I34" s="60">
        <f t="shared" si="1"/>
        <v>0.00124103827171101</v>
      </c>
      <c r="J34" s="55">
        <f t="shared" si="2"/>
        <v>0.010272707724359164</v>
      </c>
      <c r="K34" s="120"/>
      <c r="L34" s="121"/>
      <c r="M34" s="120"/>
      <c r="N34" s="120"/>
      <c r="O34" s="17"/>
      <c r="P34" s="17"/>
    </row>
    <row r="35" spans="1:16" s="13" customFormat="1" ht="12.75">
      <c r="A35" s="56" t="s">
        <v>92</v>
      </c>
      <c r="B35" s="49"/>
      <c r="C35" s="49"/>
      <c r="D35" s="62"/>
      <c r="E35" s="51">
        <v>0.0583</v>
      </c>
      <c r="F35" s="59" t="s">
        <v>27</v>
      </c>
      <c r="G35" s="53">
        <v>456</v>
      </c>
      <c r="H35" s="53">
        <f t="shared" si="0"/>
        <v>26.584799999999998</v>
      </c>
      <c r="I35" s="60">
        <f t="shared" si="1"/>
        <v>0.0018867313915857606</v>
      </c>
      <c r="J35" s="55">
        <f t="shared" si="2"/>
        <v>0.0008386189846124338</v>
      </c>
      <c r="K35" s="120"/>
      <c r="L35" s="121"/>
      <c r="M35" s="120"/>
      <c r="N35" s="120"/>
      <c r="O35" s="17"/>
      <c r="P35" s="17"/>
    </row>
    <row r="36" spans="1:16" s="13" customFormat="1" ht="12.75">
      <c r="A36" s="56" t="s">
        <v>93</v>
      </c>
      <c r="B36" s="49"/>
      <c r="C36" s="49"/>
      <c r="D36" s="50"/>
      <c r="E36" s="51">
        <v>0.2143</v>
      </c>
      <c r="F36" s="59" t="s">
        <v>27</v>
      </c>
      <c r="G36" s="53">
        <v>300</v>
      </c>
      <c r="H36" s="53">
        <f t="shared" si="0"/>
        <v>64.28999999999999</v>
      </c>
      <c r="I36" s="60">
        <f t="shared" si="1"/>
        <v>0.006935275080906149</v>
      </c>
      <c r="J36" s="55">
        <f t="shared" si="2"/>
        <v>0.002028031601544242</v>
      </c>
      <c r="K36" s="120"/>
      <c r="L36" s="121"/>
      <c r="M36" s="120"/>
      <c r="N36" s="120"/>
      <c r="O36" s="17"/>
      <c r="P36" s="17"/>
    </row>
    <row r="37" spans="1:16" s="13" customFormat="1" ht="12.75">
      <c r="A37" s="56" t="s">
        <v>94</v>
      </c>
      <c r="B37" s="49"/>
      <c r="C37" s="49"/>
      <c r="D37" s="62"/>
      <c r="E37" s="51">
        <v>7.798</v>
      </c>
      <c r="F37" s="59" t="s">
        <v>26</v>
      </c>
      <c r="G37" s="53">
        <v>231.35</v>
      </c>
      <c r="H37" s="53">
        <f t="shared" si="0"/>
        <v>1804.0673</v>
      </c>
      <c r="I37" s="60">
        <f t="shared" si="1"/>
        <v>0.2523624595469256</v>
      </c>
      <c r="J37" s="55">
        <f t="shared" si="2"/>
        <v>0.05690940263979774</v>
      </c>
      <c r="K37" s="120"/>
      <c r="L37" s="121"/>
      <c r="M37" s="120"/>
      <c r="N37" s="120"/>
      <c r="O37" s="17"/>
      <c r="P37" s="17"/>
    </row>
    <row r="38" spans="1:16" s="13" customFormat="1" ht="12.75">
      <c r="A38" s="56" t="s">
        <v>95</v>
      </c>
      <c r="B38" s="49"/>
      <c r="C38" s="49"/>
      <c r="D38" s="50"/>
      <c r="E38" s="51">
        <v>0.298</v>
      </c>
      <c r="F38" s="59" t="s">
        <v>26</v>
      </c>
      <c r="G38" s="53">
        <v>284.05</v>
      </c>
      <c r="H38" s="53">
        <f t="shared" si="0"/>
        <v>84.6469</v>
      </c>
      <c r="I38" s="60">
        <f t="shared" si="1"/>
        <v>0.009644012944983819</v>
      </c>
      <c r="J38" s="55">
        <f t="shared" si="2"/>
        <v>0.002670191136611531</v>
      </c>
      <c r="K38" s="120"/>
      <c r="L38" s="121"/>
      <c r="M38" s="120"/>
      <c r="N38" s="120"/>
      <c r="O38" s="17"/>
      <c r="P38" s="17"/>
    </row>
    <row r="39" spans="1:16" s="13" customFormat="1" ht="12.75">
      <c r="A39" s="56" t="s">
        <v>96</v>
      </c>
      <c r="B39" s="49"/>
      <c r="C39" s="49"/>
      <c r="D39" s="50"/>
      <c r="E39" s="51">
        <v>1</v>
      </c>
      <c r="F39" s="59" t="s">
        <v>24</v>
      </c>
      <c r="G39" s="53">
        <v>42</v>
      </c>
      <c r="H39" s="53">
        <f t="shared" si="0"/>
        <v>42</v>
      </c>
      <c r="I39" s="60">
        <f t="shared" si="1"/>
        <v>0.03236245954692557</v>
      </c>
      <c r="J39" s="55">
        <f t="shared" si="2"/>
        <v>0.0013248923201875592</v>
      </c>
      <c r="K39" s="120"/>
      <c r="L39" s="121"/>
      <c r="M39" s="122"/>
      <c r="N39" s="120"/>
      <c r="O39" s="17"/>
      <c r="P39" s="17"/>
    </row>
    <row r="40" spans="1:16" s="13" customFormat="1" ht="8.25" customHeight="1">
      <c r="A40" s="63"/>
      <c r="B40" s="49"/>
      <c r="C40" s="49"/>
      <c r="D40" s="50"/>
      <c r="E40" s="51"/>
      <c r="F40" s="52"/>
      <c r="G40" s="53"/>
      <c r="H40" s="53"/>
      <c r="I40" s="60"/>
      <c r="J40" s="55"/>
      <c r="K40" s="120"/>
      <c r="L40" s="121"/>
      <c r="M40" s="122"/>
      <c r="N40" s="120"/>
      <c r="O40" s="17"/>
      <c r="P40" s="17"/>
    </row>
    <row r="41" spans="1:16" s="13" customFormat="1" ht="12.75">
      <c r="A41" s="48" t="s">
        <v>25</v>
      </c>
      <c r="B41" s="49"/>
      <c r="C41" s="49"/>
      <c r="D41" s="50"/>
      <c r="E41" s="50"/>
      <c r="F41" s="52"/>
      <c r="G41" s="53"/>
      <c r="H41" s="53"/>
      <c r="I41" s="60"/>
      <c r="J41" s="55"/>
      <c r="K41" s="120"/>
      <c r="L41" s="121"/>
      <c r="M41" s="120"/>
      <c r="N41" s="120"/>
      <c r="O41" s="17"/>
      <c r="P41" s="17"/>
    </row>
    <row r="42" spans="1:16" s="13" customFormat="1" ht="12.75">
      <c r="A42" s="56" t="s">
        <v>97</v>
      </c>
      <c r="B42" s="49"/>
      <c r="C42" s="49"/>
      <c r="D42" s="50"/>
      <c r="E42" s="51">
        <v>1</v>
      </c>
      <c r="F42" s="59" t="s">
        <v>24</v>
      </c>
      <c r="G42" s="53">
        <v>400</v>
      </c>
      <c r="H42" s="53">
        <f>IF(E42*G42,+E42*G42,"        ")</f>
        <v>400</v>
      </c>
      <c r="I42" s="60">
        <f>E42/B$11</f>
        <v>0.03236245954692557</v>
      </c>
      <c r="J42" s="55">
        <f>H42/H$76</f>
        <v>0.012618022097024372</v>
      </c>
      <c r="K42" s="17"/>
      <c r="L42" s="121"/>
      <c r="M42" s="17"/>
      <c r="N42" s="17"/>
      <c r="O42" s="17"/>
      <c r="P42" s="17"/>
    </row>
    <row r="43" spans="1:16" s="13" customFormat="1" ht="12.75">
      <c r="A43" s="56" t="s">
        <v>98</v>
      </c>
      <c r="B43" s="49"/>
      <c r="C43" s="49"/>
      <c r="D43" s="50"/>
      <c r="E43" s="51">
        <v>1</v>
      </c>
      <c r="F43" s="59" t="s">
        <v>24</v>
      </c>
      <c r="G43" s="53">
        <v>400</v>
      </c>
      <c r="H43" s="53">
        <f>IF(E43*G43,+E43*G43,"        ")</f>
        <v>400</v>
      </c>
      <c r="I43" s="60">
        <f>E43/B$11</f>
        <v>0.03236245954692557</v>
      </c>
      <c r="J43" s="55">
        <f>H43/H$76</f>
        <v>0.012618022097024372</v>
      </c>
      <c r="K43" s="17"/>
      <c r="L43" s="121"/>
      <c r="M43" s="17"/>
      <c r="N43" s="17"/>
      <c r="O43" s="17"/>
      <c r="P43" s="17"/>
    </row>
    <row r="44" spans="1:16" s="13" customFormat="1" ht="12.75">
      <c r="A44" s="56" t="s">
        <v>99</v>
      </c>
      <c r="B44" s="49"/>
      <c r="C44" s="49"/>
      <c r="D44" s="50"/>
      <c r="E44" s="51">
        <v>1</v>
      </c>
      <c r="F44" s="59" t="s">
        <v>24</v>
      </c>
      <c r="G44" s="53">
        <v>200</v>
      </c>
      <c r="H44" s="53">
        <f>IF(E44*G44,+E44*G44,"        ")</f>
        <v>200</v>
      </c>
      <c r="I44" s="60">
        <f>E44/B$11</f>
        <v>0.03236245954692557</v>
      </c>
      <c r="J44" s="55">
        <f>H44/H$76</f>
        <v>0.006309011048512186</v>
      </c>
      <c r="K44" s="17"/>
      <c r="L44" s="121"/>
      <c r="M44" s="17"/>
      <c r="N44" s="17"/>
      <c r="O44" s="17"/>
      <c r="P44" s="17"/>
    </row>
    <row r="45" spans="1:16" s="13" customFormat="1" ht="4.5" customHeight="1">
      <c r="A45" s="63"/>
      <c r="B45" s="49"/>
      <c r="C45" s="61"/>
      <c r="D45" s="50"/>
      <c r="E45" s="51"/>
      <c r="F45" s="52"/>
      <c r="G45" s="53"/>
      <c r="H45" s="53"/>
      <c r="I45" s="60"/>
      <c r="J45" s="55"/>
      <c r="K45" s="17"/>
      <c r="L45" s="121"/>
      <c r="M45" s="17"/>
      <c r="N45" s="17"/>
      <c r="O45" s="17"/>
      <c r="P45" s="17"/>
    </row>
    <row r="46" spans="1:16" s="13" customFormat="1" ht="12.75">
      <c r="A46" s="56" t="s">
        <v>23</v>
      </c>
      <c r="B46" s="49"/>
      <c r="C46" s="61"/>
      <c r="D46" s="64"/>
      <c r="E46" s="51">
        <v>0.5673</v>
      </c>
      <c r="F46" s="59" t="s">
        <v>7</v>
      </c>
      <c r="G46" s="53">
        <v>650</v>
      </c>
      <c r="H46" s="53">
        <f>IF(E46*G46,+E46*G46,"        ")</f>
        <v>368.745</v>
      </c>
      <c r="I46" s="60">
        <f>E46/B$11</f>
        <v>0.018359223300970874</v>
      </c>
      <c r="J46" s="55">
        <f>H46/H$76</f>
        <v>0.011632081395418131</v>
      </c>
      <c r="K46" s="17"/>
      <c r="L46" s="121"/>
      <c r="M46" s="17"/>
      <c r="N46" s="17"/>
      <c r="O46" s="17"/>
      <c r="P46" s="17"/>
    </row>
    <row r="47" spans="1:16" s="13" customFormat="1" ht="12.75">
      <c r="A47" s="56" t="s">
        <v>22</v>
      </c>
      <c r="B47" s="49"/>
      <c r="C47" s="61"/>
      <c r="D47" s="59" t="s">
        <v>21</v>
      </c>
      <c r="E47" s="51">
        <v>1.3213</v>
      </c>
      <c r="F47" s="59" t="s">
        <v>7</v>
      </c>
      <c r="G47" s="53">
        <v>650</v>
      </c>
      <c r="H47" s="53">
        <f>IF(E47*G47,+E47*G47,"        ")</f>
        <v>858.8449999999999</v>
      </c>
      <c r="I47" s="60">
        <f>E47/B$11</f>
        <v>0.04276051779935275</v>
      </c>
      <c r="J47" s="55">
        <f>H47/H$76</f>
        <v>0.02709231296979724</v>
      </c>
      <c r="K47" s="17"/>
      <c r="L47" s="17"/>
      <c r="M47" s="17"/>
      <c r="N47" s="17"/>
      <c r="O47" s="17"/>
      <c r="P47" s="17"/>
    </row>
    <row r="48" spans="1:16" s="13" customFormat="1" ht="12.75">
      <c r="A48" s="56" t="s">
        <v>20</v>
      </c>
      <c r="B48" s="49"/>
      <c r="C48" s="57"/>
      <c r="D48" s="50"/>
      <c r="E48" s="51">
        <v>0.4142</v>
      </c>
      <c r="F48" s="59" t="s">
        <v>7</v>
      </c>
      <c r="G48" s="53">
        <v>650</v>
      </c>
      <c r="H48" s="53">
        <f>IF(E48*G48,+E48*G48,"        ")</f>
        <v>269.23</v>
      </c>
      <c r="I48" s="60">
        <f>E48/B$11</f>
        <v>0.013404530744336571</v>
      </c>
      <c r="J48" s="55">
        <f>H48/H$76</f>
        <v>0.00849287522295468</v>
      </c>
      <c r="K48" s="17"/>
      <c r="L48" s="17"/>
      <c r="M48" s="17"/>
      <c r="N48" s="17"/>
      <c r="O48" s="17"/>
      <c r="P48" s="17"/>
    </row>
    <row r="49" spans="1:16" s="13" customFormat="1" ht="13.5" thickBot="1">
      <c r="A49" s="65" t="s">
        <v>19</v>
      </c>
      <c r="B49" s="66"/>
      <c r="C49" s="66"/>
      <c r="D49" s="67" t="s">
        <v>18</v>
      </c>
      <c r="E49" s="68">
        <v>1.7243</v>
      </c>
      <c r="F49" s="67" t="s">
        <v>7</v>
      </c>
      <c r="G49" s="69">
        <v>650</v>
      </c>
      <c r="H49" s="69">
        <f>IF(E49*G49,+E49*G49,"        ")</f>
        <v>1120.795</v>
      </c>
      <c r="I49" s="70">
        <f>E49/B$11</f>
        <v>0.055802588996763755</v>
      </c>
      <c r="J49" s="71">
        <f>H49/H$76</f>
        <v>0.03535554019058608</v>
      </c>
      <c r="K49" s="17"/>
      <c r="L49" s="17"/>
      <c r="M49" s="17"/>
      <c r="N49" s="17"/>
      <c r="O49" s="17"/>
      <c r="P49" s="17"/>
    </row>
    <row r="50" spans="1:16" s="117" customFormat="1" ht="9" customHeight="1" thickBo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49"/>
      <c r="L50" s="49"/>
      <c r="M50" s="49"/>
      <c r="N50" s="49"/>
      <c r="O50" s="49"/>
      <c r="P50" s="49"/>
    </row>
    <row r="51" spans="1:16" s="13" customFormat="1" ht="3.75" customHeight="1">
      <c r="A51" s="76"/>
      <c r="B51" s="77"/>
      <c r="C51" s="77"/>
      <c r="D51" s="78"/>
      <c r="E51" s="79"/>
      <c r="F51" s="80"/>
      <c r="G51" s="81"/>
      <c r="H51" s="81"/>
      <c r="I51" s="82"/>
      <c r="J51" s="83"/>
      <c r="K51" s="17"/>
      <c r="L51" s="17"/>
      <c r="M51" s="17"/>
      <c r="N51" s="17"/>
      <c r="O51" s="17"/>
      <c r="P51" s="17"/>
    </row>
    <row r="52" spans="1:16" s="13" customFormat="1" ht="12.75">
      <c r="A52" s="56" t="s">
        <v>105</v>
      </c>
      <c r="B52" s="49"/>
      <c r="C52" s="49"/>
      <c r="D52" s="50"/>
      <c r="E52" s="51">
        <v>2.6622</v>
      </c>
      <c r="F52" s="52" t="s">
        <v>7</v>
      </c>
      <c r="G52" s="53">
        <v>650</v>
      </c>
      <c r="H52" s="53">
        <v>1730.4299999999998</v>
      </c>
      <c r="I52" s="60">
        <v>0.08615533980582524</v>
      </c>
      <c r="J52" s="55">
        <f aca="true" t="shared" si="3" ref="J52:J61">H52/H$76</f>
        <v>0.05458650994338471</v>
      </c>
      <c r="K52" s="17"/>
      <c r="L52" s="17"/>
      <c r="M52" s="17"/>
      <c r="N52" s="17"/>
      <c r="O52" s="17"/>
      <c r="P52" s="17"/>
    </row>
    <row r="53" spans="1:16" s="13" customFormat="1" ht="12.75">
      <c r="A53" s="56" t="s">
        <v>17</v>
      </c>
      <c r="B53" s="49"/>
      <c r="C53" s="49"/>
      <c r="D53" s="50"/>
      <c r="E53" s="51">
        <v>0.14</v>
      </c>
      <c r="F53" s="59" t="s">
        <v>7</v>
      </c>
      <c r="G53" s="53">
        <v>650</v>
      </c>
      <c r="H53" s="53">
        <f>IF(E53*G53,+E53*G53,"        ")</f>
        <v>91.00000000000001</v>
      </c>
      <c r="I53" s="60">
        <f>E53/B$11</f>
        <v>0.00453074433656958</v>
      </c>
      <c r="J53" s="55">
        <f t="shared" si="3"/>
        <v>0.0028706000270730453</v>
      </c>
      <c r="K53" s="17"/>
      <c r="L53" s="17"/>
      <c r="M53" s="17"/>
      <c r="N53" s="17"/>
      <c r="O53" s="17"/>
      <c r="P53" s="17"/>
    </row>
    <row r="54" spans="1:16" s="13" customFormat="1" ht="12.75">
      <c r="A54" s="56" t="s">
        <v>16</v>
      </c>
      <c r="B54" s="49"/>
      <c r="C54" s="61"/>
      <c r="D54" s="64"/>
      <c r="E54" s="51">
        <v>0.4142</v>
      </c>
      <c r="F54" s="59" t="s">
        <v>7</v>
      </c>
      <c r="G54" s="53">
        <v>650</v>
      </c>
      <c r="H54" s="53">
        <f>IF(E54*G54,+E54*G54,"        ")</f>
        <v>269.23</v>
      </c>
      <c r="I54" s="60">
        <f>E54/B$11</f>
        <v>0.013404530744336571</v>
      </c>
      <c r="J54" s="55">
        <f t="shared" si="3"/>
        <v>0.00849287522295468</v>
      </c>
      <c r="K54" s="17"/>
      <c r="L54" s="17"/>
      <c r="M54" s="17"/>
      <c r="N54" s="17"/>
      <c r="O54" s="17"/>
      <c r="P54" s="17"/>
    </row>
    <row r="55" spans="1:16" s="13" customFormat="1" ht="25.5" customHeight="1">
      <c r="A55" s="152" t="s">
        <v>106</v>
      </c>
      <c r="B55" s="153"/>
      <c r="C55" s="154"/>
      <c r="D55" s="50"/>
      <c r="E55" s="125">
        <v>0.115</v>
      </c>
      <c r="F55" s="126" t="s">
        <v>7</v>
      </c>
      <c r="G55" s="127">
        <v>650</v>
      </c>
      <c r="H55" s="127">
        <v>74.75</v>
      </c>
      <c r="I55" s="128">
        <v>0.0037216828478964406</v>
      </c>
      <c r="J55" s="129">
        <f t="shared" si="3"/>
        <v>0.00235799287938143</v>
      </c>
      <c r="K55" s="17"/>
      <c r="L55" s="17"/>
      <c r="M55" s="17"/>
      <c r="N55" s="17"/>
      <c r="O55" s="17"/>
      <c r="P55" s="17"/>
    </row>
    <row r="56" spans="1:16" s="13" customFormat="1" ht="37.5" customHeight="1">
      <c r="A56" s="152" t="s">
        <v>107</v>
      </c>
      <c r="B56" s="153"/>
      <c r="C56" s="154"/>
      <c r="D56" s="50"/>
      <c r="E56" s="125">
        <v>0.2683</v>
      </c>
      <c r="F56" s="126" t="s">
        <v>7</v>
      </c>
      <c r="G56" s="127">
        <v>650</v>
      </c>
      <c r="H56" s="127">
        <v>174.39499999999998</v>
      </c>
      <c r="I56" s="128">
        <v>0.00868284789644013</v>
      </c>
      <c r="J56" s="129">
        <f t="shared" si="3"/>
        <v>0.0055012999090264135</v>
      </c>
      <c r="K56" s="17"/>
      <c r="L56" s="17"/>
      <c r="M56" s="17"/>
      <c r="N56" s="17"/>
      <c r="O56" s="17"/>
      <c r="P56" s="17"/>
    </row>
    <row r="57" spans="1:16" s="13" customFormat="1" ht="12.75">
      <c r="A57" s="56" t="s">
        <v>15</v>
      </c>
      <c r="B57" s="49"/>
      <c r="C57" s="49"/>
      <c r="D57" s="59" t="s">
        <v>14</v>
      </c>
      <c r="E57" s="51">
        <v>1.7247</v>
      </c>
      <c r="F57" s="59" t="s">
        <v>7</v>
      </c>
      <c r="G57" s="53">
        <v>650</v>
      </c>
      <c r="H57" s="53">
        <f>IF(E57*G57,+E57*G57,"        ")</f>
        <v>1121.0549999999998</v>
      </c>
      <c r="I57" s="60">
        <f>E57/B$11</f>
        <v>0.055815533980582525</v>
      </c>
      <c r="J57" s="55">
        <f t="shared" si="3"/>
        <v>0.03536374190494914</v>
      </c>
      <c r="K57" s="17"/>
      <c r="L57" s="17"/>
      <c r="M57" s="17"/>
      <c r="N57" s="17"/>
      <c r="O57" s="17"/>
      <c r="P57" s="17"/>
    </row>
    <row r="58" spans="1:16" s="13" customFormat="1" ht="12.75">
      <c r="A58" s="56" t="s">
        <v>13</v>
      </c>
      <c r="B58" s="49"/>
      <c r="C58" s="49"/>
      <c r="D58" s="50"/>
      <c r="E58" s="51">
        <v>0.14</v>
      </c>
      <c r="F58" s="59" t="s">
        <v>7</v>
      </c>
      <c r="G58" s="53">
        <v>650</v>
      </c>
      <c r="H58" s="53">
        <f>IF(E58*G58,+E58*G58,"        ")</f>
        <v>91.00000000000001</v>
      </c>
      <c r="I58" s="60">
        <f>E58/B$11</f>
        <v>0.00453074433656958</v>
      </c>
      <c r="J58" s="55">
        <f t="shared" si="3"/>
        <v>0.0028706000270730453</v>
      </c>
      <c r="K58" s="17"/>
      <c r="L58" s="17"/>
      <c r="M58" s="17"/>
      <c r="N58" s="17"/>
      <c r="O58" s="17"/>
      <c r="P58" s="17"/>
    </row>
    <row r="59" spans="1:16" s="13" customFormat="1" ht="12.75">
      <c r="A59" s="56" t="s">
        <v>73</v>
      </c>
      <c r="B59" s="49"/>
      <c r="C59" s="61"/>
      <c r="D59" s="64"/>
      <c r="E59" s="51">
        <v>0.4142</v>
      </c>
      <c r="F59" s="59" t="s">
        <v>7</v>
      </c>
      <c r="G59" s="53">
        <v>650</v>
      </c>
      <c r="H59" s="53">
        <f>IF(E59*G59,+E59*G59,"        ")</f>
        <v>269.23</v>
      </c>
      <c r="I59" s="60">
        <f>E59/B$11</f>
        <v>0.013404530744336571</v>
      </c>
      <c r="J59" s="55">
        <f t="shared" si="3"/>
        <v>0.00849287522295468</v>
      </c>
      <c r="K59" s="17"/>
      <c r="L59" s="17"/>
      <c r="M59" s="17"/>
      <c r="N59" s="17"/>
      <c r="O59" s="17"/>
      <c r="P59" s="17"/>
    </row>
    <row r="60" spans="1:16" s="13" customFormat="1" ht="40.5" customHeight="1">
      <c r="A60" s="152" t="s">
        <v>109</v>
      </c>
      <c r="B60" s="153"/>
      <c r="C60" s="154"/>
      <c r="D60" s="64"/>
      <c r="E60" s="130">
        <v>0.268</v>
      </c>
      <c r="F60" s="126" t="s">
        <v>7</v>
      </c>
      <c r="G60" s="127">
        <v>650</v>
      </c>
      <c r="H60" s="127">
        <v>174.20000000000002</v>
      </c>
      <c r="I60" s="128">
        <v>0.008673139158576053</v>
      </c>
      <c r="J60" s="129">
        <f t="shared" si="3"/>
        <v>0.005495148623254115</v>
      </c>
      <c r="K60" s="17"/>
      <c r="L60" s="17"/>
      <c r="M60" s="17"/>
      <c r="N60" s="17"/>
      <c r="O60" s="17"/>
      <c r="P60" s="17"/>
    </row>
    <row r="61" spans="1:16" s="13" customFormat="1" ht="12.75">
      <c r="A61" s="56" t="s">
        <v>108</v>
      </c>
      <c r="B61" s="49"/>
      <c r="C61" s="49"/>
      <c r="D61" s="50"/>
      <c r="E61" s="50">
        <v>2.6622</v>
      </c>
      <c r="F61" s="52" t="s">
        <v>7</v>
      </c>
      <c r="G61" s="53">
        <v>650</v>
      </c>
      <c r="H61" s="53">
        <v>1730.4299999999998</v>
      </c>
      <c r="I61" s="60">
        <v>0.08615533980582524</v>
      </c>
      <c r="J61" s="55">
        <f t="shared" si="3"/>
        <v>0.05458650994338471</v>
      </c>
      <c r="K61" s="17"/>
      <c r="L61" s="17"/>
      <c r="M61" s="17"/>
      <c r="N61" s="17"/>
      <c r="O61" s="17"/>
      <c r="P61" s="17"/>
    </row>
    <row r="62" spans="1:16" s="13" customFormat="1" ht="5.25" customHeight="1" thickBot="1">
      <c r="A62" s="65"/>
      <c r="B62" s="66"/>
      <c r="C62" s="66"/>
      <c r="D62" s="84"/>
      <c r="E62" s="68"/>
      <c r="F62" s="67"/>
      <c r="G62" s="69"/>
      <c r="H62" s="69"/>
      <c r="I62" s="70"/>
      <c r="J62" s="71"/>
      <c r="K62" s="17"/>
      <c r="L62" s="17"/>
      <c r="M62" s="17"/>
      <c r="N62" s="17"/>
      <c r="O62" s="17"/>
      <c r="P62" s="17"/>
    </row>
    <row r="63" spans="1:16" s="13" customFormat="1" ht="9.75" customHeight="1" thickBot="1">
      <c r="A63" s="49"/>
      <c r="B63" s="49"/>
      <c r="C63" s="49"/>
      <c r="D63" s="49"/>
      <c r="E63" s="49"/>
      <c r="F63" s="85"/>
      <c r="G63" s="74"/>
      <c r="H63" s="74"/>
      <c r="I63" s="75"/>
      <c r="J63" s="37"/>
      <c r="K63" s="17"/>
      <c r="L63" s="17"/>
      <c r="M63" s="17"/>
      <c r="N63" s="17"/>
      <c r="O63" s="17"/>
      <c r="P63" s="17"/>
    </row>
    <row r="64" spans="1:16" s="13" customFormat="1" ht="4.5" customHeight="1">
      <c r="A64" s="76"/>
      <c r="B64" s="77"/>
      <c r="C64" s="77"/>
      <c r="D64" s="78"/>
      <c r="E64" s="78"/>
      <c r="F64" s="80"/>
      <c r="G64" s="81"/>
      <c r="H64" s="81"/>
      <c r="I64" s="82"/>
      <c r="J64" s="83"/>
      <c r="K64" s="17"/>
      <c r="L64" s="17"/>
      <c r="M64" s="17"/>
      <c r="N64" s="17"/>
      <c r="O64" s="17"/>
      <c r="P64" s="17"/>
    </row>
    <row r="65" spans="1:16" s="13" customFormat="1" ht="38.25" customHeight="1">
      <c r="A65" s="152" t="s">
        <v>110</v>
      </c>
      <c r="B65" s="153"/>
      <c r="C65" s="154"/>
      <c r="D65" s="50"/>
      <c r="E65" s="50">
        <v>0.268</v>
      </c>
      <c r="F65" s="52" t="s">
        <v>7</v>
      </c>
      <c r="G65" s="50">
        <v>650</v>
      </c>
      <c r="H65" s="53"/>
      <c r="I65" s="60">
        <v>0.008673139158576053</v>
      </c>
      <c r="J65" s="55">
        <f>H65/H$76</f>
        <v>0</v>
      </c>
      <c r="K65" s="17"/>
      <c r="L65" s="17"/>
      <c r="M65" s="17"/>
      <c r="N65" s="17"/>
      <c r="O65" s="17"/>
      <c r="P65" s="17"/>
    </row>
    <row r="66" spans="1:16" s="13" customFormat="1" ht="12.75">
      <c r="A66" s="56" t="s">
        <v>12</v>
      </c>
      <c r="B66" s="49"/>
      <c r="C66" s="49"/>
      <c r="D66" s="59" t="s">
        <v>11</v>
      </c>
      <c r="E66" s="50"/>
      <c r="F66" s="52"/>
      <c r="G66" s="50"/>
      <c r="H66" s="53"/>
      <c r="I66" s="60"/>
      <c r="J66" s="55"/>
      <c r="K66" s="17"/>
      <c r="L66" s="17"/>
      <c r="M66" s="17"/>
      <c r="N66" s="17"/>
      <c r="O66" s="17"/>
      <c r="P66" s="17"/>
    </row>
    <row r="67" spans="1:16" s="13" customFormat="1" ht="12.75">
      <c r="A67" s="56" t="s">
        <v>10</v>
      </c>
      <c r="B67" s="49"/>
      <c r="C67" s="57"/>
      <c r="D67" s="50"/>
      <c r="E67" s="51">
        <v>0.9038</v>
      </c>
      <c r="F67" s="59" t="s">
        <v>7</v>
      </c>
      <c r="G67" s="53">
        <f>+$B$16</f>
        <v>650</v>
      </c>
      <c r="H67" s="53"/>
      <c r="I67" s="60">
        <f>E67/B$11</f>
        <v>0.02924919093851133</v>
      </c>
      <c r="J67" s="55">
        <f>H67/H$76</f>
        <v>0</v>
      </c>
      <c r="K67" s="17"/>
      <c r="L67" s="17"/>
      <c r="M67" s="17"/>
      <c r="N67" s="17"/>
      <c r="O67" s="17"/>
      <c r="P67" s="17"/>
    </row>
    <row r="68" spans="1:16" s="13" customFormat="1" ht="12.75">
      <c r="A68" s="56" t="s">
        <v>9</v>
      </c>
      <c r="B68" s="49"/>
      <c r="C68" s="61"/>
      <c r="D68" s="64"/>
      <c r="E68" s="51">
        <v>2.7113</v>
      </c>
      <c r="F68" s="59" t="s">
        <v>7</v>
      </c>
      <c r="G68" s="53">
        <f>+$B$16</f>
        <v>650</v>
      </c>
      <c r="H68" s="53"/>
      <c r="I68" s="60">
        <f>E68/B$11</f>
        <v>0.08774433656957929</v>
      </c>
      <c r="J68" s="55">
        <f>H68/H$76</f>
        <v>0</v>
      </c>
      <c r="K68" s="17"/>
      <c r="L68" s="17"/>
      <c r="M68" s="17"/>
      <c r="N68" s="17"/>
      <c r="O68" s="17"/>
      <c r="P68" s="17"/>
    </row>
    <row r="69" spans="1:16" s="13" customFormat="1" ht="12.75">
      <c r="A69" s="56" t="s">
        <v>8</v>
      </c>
      <c r="B69" s="49"/>
      <c r="C69" s="49"/>
      <c r="D69" s="50"/>
      <c r="E69" s="51">
        <v>1.7263333333333333</v>
      </c>
      <c r="F69" s="59" t="s">
        <v>7</v>
      </c>
      <c r="G69" s="53">
        <f>+$B$16</f>
        <v>650</v>
      </c>
      <c r="H69" s="53"/>
      <c r="I69" s="60">
        <f>E69/B$11</f>
        <v>0.05586839266450917</v>
      </c>
      <c r="J69" s="55">
        <f>H69/H$76</f>
        <v>0</v>
      </c>
      <c r="K69" s="17"/>
      <c r="L69" s="17"/>
      <c r="M69" s="17"/>
      <c r="N69" s="17"/>
      <c r="O69" s="17"/>
      <c r="P69" s="17"/>
    </row>
    <row r="70" spans="1:16" s="13" customFormat="1" ht="4.5" customHeight="1" thickBot="1">
      <c r="A70" s="87"/>
      <c r="B70" s="88"/>
      <c r="C70" s="88"/>
      <c r="D70" s="89"/>
      <c r="E70" s="89"/>
      <c r="F70" s="67"/>
      <c r="G70" s="89"/>
      <c r="H70" s="89"/>
      <c r="I70" s="70"/>
      <c r="J70" s="71"/>
      <c r="K70" s="17"/>
      <c r="L70" s="17"/>
      <c r="M70" s="17"/>
      <c r="N70" s="17"/>
      <c r="O70" s="17"/>
      <c r="P70" s="17"/>
    </row>
    <row r="71" spans="1:16" s="13" customFormat="1" ht="12" customHeight="1" thickBot="1">
      <c r="A71" s="90"/>
      <c r="B71" s="36"/>
      <c r="C71" s="36"/>
      <c r="D71" s="36"/>
      <c r="E71" s="36"/>
      <c r="F71" s="73"/>
      <c r="G71" s="36"/>
      <c r="H71" s="133"/>
      <c r="I71" s="132"/>
      <c r="J71" s="37"/>
      <c r="K71" s="17"/>
      <c r="L71" s="17"/>
      <c r="M71" s="17"/>
      <c r="N71" s="17"/>
      <c r="O71" s="17"/>
      <c r="P71" s="17"/>
    </row>
    <row r="72" spans="1:16" s="13" customFormat="1" ht="12.75">
      <c r="A72" s="92" t="s">
        <v>6</v>
      </c>
      <c r="B72" s="93"/>
      <c r="C72" s="94"/>
      <c r="D72" s="77"/>
      <c r="E72" s="77"/>
      <c r="F72" s="93"/>
      <c r="G72" s="77"/>
      <c r="H72" s="131">
        <f>SUM(H23:H69)</f>
        <v>30469.71304526885</v>
      </c>
      <c r="I72" s="91"/>
      <c r="J72" s="95"/>
      <c r="K72" s="17"/>
      <c r="L72" s="17"/>
      <c r="M72" s="17"/>
      <c r="N72" s="17"/>
      <c r="O72" s="17"/>
      <c r="P72" s="17"/>
    </row>
    <row r="73" spans="1:16" s="13" customFormat="1" ht="12.75">
      <c r="A73" s="56" t="s">
        <v>74</v>
      </c>
      <c r="B73" s="49"/>
      <c r="C73" s="36"/>
      <c r="D73" s="36"/>
      <c r="E73" s="36"/>
      <c r="F73" s="36"/>
      <c r="G73" s="61"/>
      <c r="H73" s="96">
        <f>(H72*0.02)</f>
        <v>609.394260905377</v>
      </c>
      <c r="I73" s="91"/>
      <c r="J73" s="37"/>
      <c r="K73" s="17"/>
      <c r="L73" s="17"/>
      <c r="M73" s="17"/>
      <c r="N73" s="17"/>
      <c r="O73" s="17"/>
      <c r="P73" s="17"/>
    </row>
    <row r="74" spans="1:16" s="13" customFormat="1" ht="12.75">
      <c r="A74" s="56" t="s">
        <v>5</v>
      </c>
      <c r="B74" s="49"/>
      <c r="C74" s="36"/>
      <c r="D74" s="36"/>
      <c r="E74" s="36"/>
      <c r="F74" s="36"/>
      <c r="G74" s="49"/>
      <c r="H74" s="96">
        <v>0</v>
      </c>
      <c r="I74" s="91"/>
      <c r="J74" s="37"/>
      <c r="K74" s="17"/>
      <c r="L74" s="17"/>
      <c r="M74" s="17"/>
      <c r="N74" s="17"/>
      <c r="O74" s="17"/>
      <c r="P74" s="17"/>
    </row>
    <row r="75" spans="1:16" s="13" customFormat="1" ht="12.75">
      <c r="A75" s="56" t="s">
        <v>100</v>
      </c>
      <c r="B75" s="49"/>
      <c r="C75" s="49"/>
      <c r="D75" s="49"/>
      <c r="E75" s="49"/>
      <c r="F75" s="49"/>
      <c r="G75" s="49"/>
      <c r="H75" s="97">
        <f>SUM(H72:H74)*0.02</f>
        <v>621.5821461234846</v>
      </c>
      <c r="I75" s="98">
        <f>+H73+H75</f>
        <v>1230.9764070288616</v>
      </c>
      <c r="J75" s="37"/>
      <c r="K75" s="17"/>
      <c r="L75" s="17"/>
      <c r="M75" s="17"/>
      <c r="N75" s="17"/>
      <c r="O75" s="17"/>
      <c r="P75" s="17"/>
    </row>
    <row r="76" spans="1:16" s="117" customFormat="1" ht="15" customHeight="1" thickBot="1">
      <c r="A76" s="99" t="s">
        <v>4</v>
      </c>
      <c r="B76" s="100"/>
      <c r="C76" s="100"/>
      <c r="D76" s="100"/>
      <c r="E76" s="100"/>
      <c r="F76" s="100"/>
      <c r="G76" s="101"/>
      <c r="H76" s="102">
        <f>SUM(H72:H75)</f>
        <v>31700.689452297713</v>
      </c>
      <c r="I76" s="103"/>
      <c r="J76" s="104"/>
      <c r="K76" s="123">
        <f>8/12</f>
        <v>0.6666666666666666</v>
      </c>
      <c r="L76" s="49"/>
      <c r="M76" s="49"/>
      <c r="N76" s="49"/>
      <c r="O76" s="49"/>
      <c r="P76" s="49"/>
    </row>
    <row r="77" spans="1:16" s="117" customFormat="1" ht="8.25" customHeight="1" thickBot="1">
      <c r="A77" s="72"/>
      <c r="B77" s="36"/>
      <c r="C77" s="36"/>
      <c r="D77" s="36"/>
      <c r="E77" s="36"/>
      <c r="F77" s="36"/>
      <c r="G77" s="49"/>
      <c r="H77" s="105">
        <f>SUM(H73:H75)</f>
        <v>1230.9764070288616</v>
      </c>
      <c r="I77" s="103"/>
      <c r="J77" s="106"/>
      <c r="K77" s="123"/>
      <c r="L77" s="49"/>
      <c r="M77" s="49"/>
      <c r="N77" s="49"/>
      <c r="O77" s="49"/>
      <c r="P77" s="49"/>
    </row>
    <row r="78" spans="1:16" s="13" customFormat="1" ht="14.25" customHeight="1">
      <c r="A78" s="107"/>
      <c r="B78" s="108"/>
      <c r="C78" s="109"/>
      <c r="D78" s="109"/>
      <c r="E78" s="93"/>
      <c r="F78" s="108"/>
      <c r="G78" s="78"/>
      <c r="H78" s="110"/>
      <c r="I78" s="91"/>
      <c r="J78" s="37"/>
      <c r="K78" s="122"/>
      <c r="L78" s="17"/>
      <c r="M78" s="17"/>
      <c r="N78" s="17"/>
      <c r="O78" s="17"/>
      <c r="P78" s="17"/>
    </row>
    <row r="79" spans="1:16" s="13" customFormat="1" ht="12.75">
      <c r="A79" s="56" t="s">
        <v>3</v>
      </c>
      <c r="B79" s="111"/>
      <c r="C79" s="86">
        <v>0</v>
      </c>
      <c r="D79" s="64">
        <f>(C79/H72)</f>
        <v>0</v>
      </c>
      <c r="E79" s="72" t="s">
        <v>2</v>
      </c>
      <c r="F79" s="111"/>
      <c r="G79" s="112">
        <f>SUM(H46:H69)</f>
        <v>8343.335</v>
      </c>
      <c r="H79" s="113">
        <f>(G79/H72)</f>
        <v>0.27382387840687267</v>
      </c>
      <c r="I79" s="114"/>
      <c r="J79" s="37"/>
      <c r="K79" s="124">
        <f>+K76*3</f>
        <v>2</v>
      </c>
      <c r="L79" s="17"/>
      <c r="M79" s="17"/>
      <c r="N79" s="17"/>
      <c r="O79" s="17"/>
      <c r="P79" s="17"/>
    </row>
    <row r="80" spans="1:16" s="13" customFormat="1" ht="17.25" customHeight="1">
      <c r="A80" s="56" t="s">
        <v>1</v>
      </c>
      <c r="B80" s="111"/>
      <c r="C80" s="86">
        <f>SUM(H42:H44)</f>
        <v>1000</v>
      </c>
      <c r="D80" s="64">
        <f>ROUND((C80/H72),7)</f>
        <v>0.0328195</v>
      </c>
      <c r="E80" s="72" t="s">
        <v>0</v>
      </c>
      <c r="F80" s="111"/>
      <c r="G80" s="112">
        <f>SUM(H23:H39)</f>
        <v>21126.378045268848</v>
      </c>
      <c r="H80" s="113">
        <f>(G80/H72)</f>
        <v>0.6933566461187668</v>
      </c>
      <c r="I80" s="91"/>
      <c r="J80" s="37"/>
      <c r="K80" s="17"/>
      <c r="L80" s="17"/>
      <c r="M80" s="17"/>
      <c r="N80" s="17"/>
      <c r="O80" s="17"/>
      <c r="P80" s="17"/>
    </row>
    <row r="81" spans="1:16" s="13" customFormat="1" ht="7.5" customHeight="1" thickBot="1">
      <c r="A81" s="87"/>
      <c r="B81" s="115"/>
      <c r="C81" s="89"/>
      <c r="D81" s="89"/>
      <c r="E81" s="88"/>
      <c r="F81" s="115"/>
      <c r="G81" s="89"/>
      <c r="H81" s="116"/>
      <c r="I81" s="91"/>
      <c r="J81" s="37"/>
      <c r="K81" s="17"/>
      <c r="L81" s="17"/>
      <c r="M81" s="17"/>
      <c r="N81" s="17"/>
      <c r="O81" s="17"/>
      <c r="P81" s="17"/>
    </row>
    <row r="82" spans="1:16" s="13" customFormat="1" ht="12.75">
      <c r="A82" s="134" t="s">
        <v>79</v>
      </c>
      <c r="B82" s="17"/>
      <c r="C82" s="17"/>
      <c r="D82" s="17"/>
      <c r="E82" s="17"/>
      <c r="F82" s="17"/>
      <c r="G82" s="17"/>
      <c r="H82" s="17"/>
      <c r="I82" s="91"/>
      <c r="J82" s="37"/>
      <c r="K82" s="17"/>
      <c r="L82" s="17"/>
      <c r="M82" s="17"/>
      <c r="N82" s="17"/>
      <c r="O82" s="17"/>
      <c r="P82" s="17"/>
    </row>
    <row r="83" spans="1:16" s="13" customFormat="1" ht="38.25" customHeight="1">
      <c r="A83" s="155" t="s">
        <v>113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7"/>
      <c r="L83" s="17"/>
      <c r="M83" s="17"/>
      <c r="N83" s="17"/>
      <c r="O83" s="17"/>
      <c r="P83" s="17"/>
    </row>
    <row r="84" spans="1:16" s="2" customFormat="1" ht="15.75" customHeight="1">
      <c r="A84" s="150" t="s">
        <v>111</v>
      </c>
      <c r="B84" s="150"/>
      <c r="C84" s="150"/>
      <c r="D84" s="150"/>
      <c r="E84" s="150"/>
      <c r="F84" s="150"/>
      <c r="G84" s="150"/>
      <c r="H84" s="150"/>
      <c r="I84" s="150"/>
      <c r="J84" s="150"/>
      <c r="K84" s="6"/>
      <c r="L84" s="6"/>
      <c r="M84" s="6"/>
      <c r="N84" s="6"/>
      <c r="O84" s="6"/>
      <c r="P84" s="6"/>
    </row>
    <row r="85" spans="1:16" s="2" customFormat="1" ht="14.25" customHeight="1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6"/>
      <c r="L85" s="6"/>
      <c r="M85" s="6"/>
      <c r="N85" s="6"/>
      <c r="O85" s="6"/>
      <c r="P85" s="6"/>
    </row>
    <row r="86" spans="1:16" s="2" customFormat="1" ht="12.75" customHeight="1">
      <c r="A86" s="6"/>
      <c r="B86" s="6"/>
      <c r="C86" s="7"/>
      <c r="D86" s="8"/>
      <c r="E86" s="6"/>
      <c r="F86" s="6"/>
      <c r="G86" s="7"/>
      <c r="H86" s="8"/>
      <c r="I86" s="9"/>
      <c r="J86" s="6"/>
      <c r="K86" s="6"/>
      <c r="L86" s="6"/>
      <c r="M86" s="6"/>
      <c r="N86" s="6"/>
      <c r="O86" s="6"/>
      <c r="P86" s="6"/>
    </row>
    <row r="87" spans="1:16" s="2" customFormat="1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2" customFormat="1" ht="13.5">
      <c r="A88" s="6"/>
      <c r="B88" s="6"/>
      <c r="C88" s="6"/>
      <c r="D88" s="6"/>
      <c r="E88" s="6"/>
      <c r="F88" s="6"/>
      <c r="G88" s="6"/>
      <c r="H88" s="6"/>
      <c r="I88" s="11"/>
      <c r="J88" s="6"/>
      <c r="K88" s="6"/>
      <c r="L88" s="6"/>
      <c r="M88" s="6"/>
      <c r="N88" s="6"/>
      <c r="O88" s="6"/>
      <c r="P88" s="6"/>
    </row>
    <row r="89" spans="1:16" s="2" customFormat="1" ht="13.5">
      <c r="A89" s="6"/>
      <c r="B89" s="6"/>
      <c r="C89" s="6"/>
      <c r="D89" s="6"/>
      <c r="E89" s="6"/>
      <c r="F89" s="6"/>
      <c r="G89" s="6"/>
      <c r="H89" s="6"/>
      <c r="I89" s="12"/>
      <c r="J89" s="6"/>
      <c r="K89" s="6"/>
      <c r="L89" s="6"/>
      <c r="M89" s="6"/>
      <c r="N89" s="6"/>
      <c r="O89" s="6"/>
      <c r="P89" s="6"/>
    </row>
    <row r="90" spans="1:10" ht="12.75">
      <c r="A90" s="4"/>
      <c r="B90" s="4"/>
      <c r="C90" s="4"/>
      <c r="D90" s="4"/>
      <c r="E90" s="4"/>
      <c r="F90" s="4"/>
      <c r="G90" s="4"/>
      <c r="H90" s="4"/>
      <c r="I90" s="10"/>
      <c r="J90" s="5"/>
    </row>
    <row r="91" spans="1:10" ht="13.5">
      <c r="A91" s="137"/>
      <c r="B91" s="137"/>
      <c r="C91" s="137"/>
      <c r="D91" s="137"/>
      <c r="E91" s="137"/>
      <c r="F91" s="137"/>
      <c r="G91" s="137"/>
      <c r="H91" s="137"/>
      <c r="I91" s="137"/>
      <c r="J91" s="137"/>
    </row>
  </sheetData>
  <sheetProtection/>
  <mergeCells count="15">
    <mergeCell ref="A56:C56"/>
    <mergeCell ref="A60:C60"/>
    <mergeCell ref="A65:C65"/>
    <mergeCell ref="A4:J4"/>
    <mergeCell ref="A83:J83"/>
    <mergeCell ref="A2:J2"/>
    <mergeCell ref="A3:J3"/>
    <mergeCell ref="A50:J50"/>
    <mergeCell ref="A91:J91"/>
    <mergeCell ref="I17:I21"/>
    <mergeCell ref="J17:J21"/>
    <mergeCell ref="A17:H18"/>
    <mergeCell ref="A84:J84"/>
    <mergeCell ref="A85:J85"/>
    <mergeCell ref="A55:C55"/>
  </mergeCells>
  <printOptions/>
  <pageMargins left="0.65" right="0.31496062992125984" top="0.5511811023622047" bottom="0.7874015748031497" header="0" footer="0"/>
  <pageSetup horizontalDpi="300" verticalDpi="300" orientation="portrait" scale="85" r:id="rId2"/>
  <rowBreaks count="2" manualBreakCount="2">
    <brk id="50" max="9" man="1"/>
    <brk id="6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2018-09-20T16:32:43Z</cp:lastPrinted>
  <dcterms:created xsi:type="dcterms:W3CDTF">1999-01-26T14:20:53Z</dcterms:created>
  <dcterms:modified xsi:type="dcterms:W3CDTF">2024-05-08T16:24:52Z</dcterms:modified>
  <cp:category/>
  <cp:version/>
  <cp:contentType/>
  <cp:contentStatus/>
</cp:coreProperties>
</file>