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35" tabRatio="601" activeTab="0"/>
  </bookViews>
  <sheets>
    <sheet name="Costo para entrega" sheetId="1" r:id="rId1"/>
    <sheet name="Con nombre de insumos" sheetId="2" state="hidden" r:id="rId2"/>
    <sheet name="Hoja2" sheetId="3" state="hidden" r:id="rId3"/>
    <sheet name="Hoja3" sheetId="4" state="hidden" r:id="rId4"/>
  </sheets>
  <definedNames>
    <definedName name="_xlnm.Print_Area" localSheetId="1">'Con nombre de insumos'!$A$1:$K$145</definedName>
    <definedName name="_xlnm.Print_Area" localSheetId="0">'Costo para entrega'!$A$4:$J$115</definedName>
    <definedName name="_xlnm.Print_Titles" localSheetId="1">'Con nombre de insumos'!$1:$16</definedName>
    <definedName name="_xlnm.Print_Titles" localSheetId="0">'Costo para entrega'!$4:$17</definedName>
  </definedNames>
  <calcPr fullCalcOnLoad="1"/>
</workbook>
</file>

<file path=xl/sharedStrings.xml><?xml version="1.0" encoding="utf-8"?>
<sst xmlns="http://schemas.openxmlformats.org/spreadsheetml/2006/main" count="449" uniqueCount="202">
  <si>
    <t>AREA APLIC....</t>
  </si>
  <si>
    <t>Nacional</t>
  </si>
  <si>
    <t>ENTREVISTAS...</t>
  </si>
  <si>
    <t xml:space="preserve"> RUBRO..........</t>
  </si>
  <si>
    <t xml:space="preserve">Guineo </t>
  </si>
  <si>
    <t>Costo/</t>
  </si>
  <si>
    <t xml:space="preserve"> CICLO..........</t>
  </si>
  <si>
    <t>15 Meses</t>
  </si>
  <si>
    <t xml:space="preserve">VARIEDAD  </t>
  </si>
  <si>
    <t>RENDIMIENTO</t>
  </si>
  <si>
    <t>Unidad</t>
  </si>
  <si>
    <t xml:space="preserve"> COSTO CODIGO...</t>
  </si>
  <si>
    <t>Media-Mata</t>
  </si>
  <si>
    <t xml:space="preserve"> METODO SIEMBRA.</t>
  </si>
  <si>
    <t>Directo</t>
  </si>
  <si>
    <t xml:space="preserve"> ORIGEN DE AGUAS</t>
  </si>
  <si>
    <t>Riego Grav.</t>
  </si>
  <si>
    <t xml:space="preserve"> NIVEL INSUMOS...</t>
  </si>
  <si>
    <t>Alto</t>
  </si>
  <si>
    <t xml:space="preserve"> PREP. TERRENO..</t>
  </si>
  <si>
    <t>Mecanizado</t>
  </si>
  <si>
    <t>HOMBRE-DIA</t>
  </si>
  <si>
    <t>8 Horas</t>
  </si>
  <si>
    <t xml:space="preserve"> CLASIF. TERRENO</t>
  </si>
  <si>
    <t>A</t>
  </si>
  <si>
    <t>JORNAL DIARIO :</t>
  </si>
  <si>
    <t xml:space="preserve"> CARAC. ESPECIAL</t>
  </si>
  <si>
    <t>Fomento</t>
  </si>
  <si>
    <t>COSTOS VARIABLES DE PRODUCCION POR TAREA</t>
  </si>
  <si>
    <t xml:space="preserve"> Valor</t>
  </si>
  <si>
    <t xml:space="preserve"> Costo</t>
  </si>
  <si>
    <t xml:space="preserve"> Actividad - Servicios o Insumos</t>
  </si>
  <si>
    <t xml:space="preserve"> Mes</t>
  </si>
  <si>
    <t>Cant.</t>
  </si>
  <si>
    <t xml:space="preserve"> Unidad</t>
  </si>
  <si>
    <t>/Unidad</t>
  </si>
  <si>
    <t xml:space="preserve"> (RD$)</t>
  </si>
  <si>
    <t>1.   Insumos</t>
  </si>
  <si>
    <t>Quintal</t>
  </si>
  <si>
    <t>Litro</t>
  </si>
  <si>
    <t>Tarea</t>
  </si>
  <si>
    <t>2.  Preparación del Terreno</t>
  </si>
  <si>
    <t xml:space="preserve"> .5 Mureo</t>
  </si>
  <si>
    <t>3.  Marcado de Hoyos</t>
  </si>
  <si>
    <t>Hom-Día</t>
  </si>
  <si>
    <t>5.  Hechura Hoyos, Siembra y Aplic.</t>
  </si>
  <si>
    <t>I</t>
  </si>
  <si>
    <t>II</t>
  </si>
  <si>
    <t xml:space="preserve">11. Aplicación Fertilizante </t>
  </si>
  <si>
    <t>12. Desyerbo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</si>
  <si>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</si>
  <si>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</si>
  <si>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</si>
  <si>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</si>
  <si>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</si>
  <si>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</si>
  <si>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</si>
  <si>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</si>
  <si>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</si>
  <si>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</si>
  <si>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GASTOS ADMINISTRATIVOS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</si>
  <si>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</si>
  <si>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</si>
  <si>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</si>
  <si>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</si>
  <si>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</si>
  <si>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</si>
  <si>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Racimo</t>
  </si>
  <si>
    <t>SUBTOTAL</t>
  </si>
  <si>
    <t>0-62-1234A</t>
  </si>
  <si>
    <t>Coeficiente Técnico por Actividad</t>
  </si>
  <si>
    <t>Participación (%) por Actividad</t>
  </si>
  <si>
    <t>………………………….</t>
  </si>
  <si>
    <t>FECHA: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</si>
  <si>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</si>
  <si>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</si>
  <si>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</si>
  <si>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</si>
  <si>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</si>
  <si>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</si>
  <si>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</si>
  <si>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</si>
  <si>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octubre, 2016.</t>
  </si>
  <si>
    <t>PAGO INTERESES 10.0% ANUAL (15 meses 12.5%)</t>
  </si>
  <si>
    <t>2016</t>
  </si>
  <si>
    <t>Página 136</t>
  </si>
  <si>
    <t>Página 137</t>
  </si>
  <si>
    <t>Página 139</t>
  </si>
  <si>
    <t>Página 140</t>
  </si>
  <si>
    <t xml:space="preserve">1. Planta Meristemo </t>
  </si>
  <si>
    <t>Plantitas</t>
  </si>
  <si>
    <t>2. Fertilizante (15-15-15)</t>
  </si>
  <si>
    <t>1. Corte</t>
  </si>
  <si>
    <t>2. Cruce</t>
  </si>
  <si>
    <t>3. Fertilizante (Sulfato de Amonio)</t>
  </si>
  <si>
    <t>6. Fungicida (Dithane 60 Sc)</t>
  </si>
  <si>
    <t>9.Transporte Insumos</t>
  </si>
  <si>
    <t>10. Pago Agua INDRHI (12 meses)</t>
  </si>
  <si>
    <t>3. Subsolado</t>
  </si>
  <si>
    <t>4.Rastra</t>
  </si>
  <si>
    <t xml:space="preserve">5. Nivelación </t>
  </si>
  <si>
    <t>Compra de cinta para proteccion de fruta</t>
  </si>
  <si>
    <t xml:space="preserve">Compra de Treebag </t>
  </si>
  <si>
    <t>Colocación de Treebag y Diapers</t>
  </si>
  <si>
    <t xml:space="preserve">Desflore, enfunde,  desvio de hijos </t>
  </si>
  <si>
    <t>Apuntalamiento</t>
  </si>
  <si>
    <t>Compra de Cuellos de Monja  Protectores</t>
  </si>
  <si>
    <t xml:space="preserve">4. Banaplex </t>
  </si>
  <si>
    <t>Galones</t>
  </si>
  <si>
    <t xml:space="preserve">    Insecticida (Diazinon)</t>
  </si>
  <si>
    <t>7.  Resiembra</t>
  </si>
  <si>
    <t xml:space="preserve">10. Aplicación Fertilizante </t>
  </si>
  <si>
    <t xml:space="preserve">    (15-15-15)</t>
  </si>
  <si>
    <t xml:space="preserve">    (Sulfato de amonio) 2 aplicaciones</t>
  </si>
  <si>
    <t xml:space="preserve">13. Aplicación Fertilizante </t>
  </si>
  <si>
    <t>12. Aplicación Fungicida, aceite y foliar</t>
  </si>
  <si>
    <t>13. Desyerbo</t>
  </si>
  <si>
    <t xml:space="preserve">14. Deshoje </t>
  </si>
  <si>
    <t>15. Desyerbo</t>
  </si>
  <si>
    <t>16. Aplicación Fungicida, aceite y foliar</t>
  </si>
  <si>
    <t xml:space="preserve">17. Aplicación Fertilizante </t>
  </si>
  <si>
    <t xml:space="preserve">    (Completo- Bonaplex)</t>
  </si>
  <si>
    <t>18. Riego (4 Aplicaciones)</t>
  </si>
  <si>
    <t>19.  Deshije</t>
  </si>
  <si>
    <t>16. Riego (4 Aplicaciones)</t>
  </si>
  <si>
    <t>20. Aplicación Fungicida, aceite y foliar</t>
  </si>
  <si>
    <t>21 Riego (4 Aplicaciones)</t>
  </si>
  <si>
    <t>Corte y carga de racimos ( 1 corte semanal por mes)</t>
  </si>
  <si>
    <t>Tratmiento de Corona (en cada uno de los cortes</t>
  </si>
  <si>
    <t>a partir del mes 9)</t>
  </si>
  <si>
    <t>6. Riego (2 aplicaciones)</t>
  </si>
  <si>
    <t>8. Riego (2 Aplicaciones)</t>
  </si>
  <si>
    <t>13. Riego (3 Aplicaciones)</t>
  </si>
  <si>
    <t>14. Riego (3 Aplicaciones)</t>
  </si>
  <si>
    <t>7. Aceite  Agricola</t>
  </si>
  <si>
    <t>5. Insecticida (Diazinon)</t>
  </si>
  <si>
    <t xml:space="preserve">8. Combustible </t>
  </si>
  <si>
    <t>6. Fungicida (Macozeb)</t>
  </si>
  <si>
    <t>6. Mureo</t>
  </si>
  <si>
    <t>7.  Marcado de Hoyos</t>
  </si>
  <si>
    <t>3. Riego (2 aplicaciones)</t>
  </si>
  <si>
    <t>4.  Resiembra</t>
  </si>
  <si>
    <t>5. Riego (2 Aplicaciones)</t>
  </si>
  <si>
    <t>7. Aplicación Fungicida, aceite y foliar</t>
  </si>
  <si>
    <t>8.Desyerbo</t>
  </si>
  <si>
    <t>14. Aplicación Fungicida, aceite y foliar</t>
  </si>
  <si>
    <t>9. Riego (3 Aplicaciones)</t>
  </si>
  <si>
    <t>10. Desyerbo</t>
  </si>
  <si>
    <t>16. Riego (3 Aplicaciones)</t>
  </si>
  <si>
    <t xml:space="preserve">17. Deshoje </t>
  </si>
  <si>
    <t>18. Desyerbo</t>
  </si>
  <si>
    <t>19. Aplicación Fungicida, aceite y foliar</t>
  </si>
  <si>
    <t>21. Riego (4 Aplicaciones)</t>
  </si>
  <si>
    <t>22.  Deshije</t>
  </si>
  <si>
    <t>23. Aplicación Fungicida, aceite y foliar</t>
  </si>
  <si>
    <t>24. Desyerbo</t>
  </si>
  <si>
    <t>25. Riego (4 Aplicaciones)</t>
  </si>
  <si>
    <t>26. Aplicación Fungicida, aceite y foliar</t>
  </si>
  <si>
    <t>27. Riego (4 Aplicaciones)</t>
  </si>
  <si>
    <t>28.  Deshije</t>
  </si>
  <si>
    <t xml:space="preserve">29. Deshoje </t>
  </si>
  <si>
    <t>30. Aplicación Fungicida, aceite y foliar</t>
  </si>
  <si>
    <t>32.Colocación de Treebag y Diapers</t>
  </si>
  <si>
    <t xml:space="preserve">33.Desflore, enfunde,  desvio de hijos </t>
  </si>
  <si>
    <t>34. Apuntalamiento</t>
  </si>
  <si>
    <t>35. Riego (4 Aplicaciones)</t>
  </si>
  <si>
    <t>36. Aplicación Fungicida, aceite y foliar</t>
  </si>
  <si>
    <t>37.Corte y carga de racimos ( 1 corte semanal por mes)</t>
  </si>
  <si>
    <t>38. Riego (4 Aplicaciones)</t>
  </si>
  <si>
    <t>39. Aplicación Fungicida, aceite y foliar</t>
  </si>
  <si>
    <t>41.Corte y carga de racimos ( 1 corte semanal por mes)</t>
  </si>
  <si>
    <t>43. Aplicación Fungicida, aceite y foliar</t>
  </si>
  <si>
    <t>42. Riego (4 Aplicaciones)</t>
  </si>
  <si>
    <t>44.Corte y carga de racimos ( 1 corte semanal por mes)</t>
  </si>
  <si>
    <t>45. Riego (4 Aplicaciones)</t>
  </si>
  <si>
    <t>46. Aplicación Fungicida, aceite y foliar</t>
  </si>
  <si>
    <t>12 Meses</t>
  </si>
  <si>
    <t>Williams o Gran Enano</t>
  </si>
  <si>
    <t xml:space="preserve">4. Formula Completa </t>
  </si>
  <si>
    <t>PAGO INTERESES 8.0% ANUAL (12 meses 8%)</t>
  </si>
  <si>
    <t>7. Fertilizantes Foliares</t>
  </si>
  <si>
    <t>8. Aceite  Agricola</t>
  </si>
  <si>
    <t>9. Compra de cinta para proteccion de fruta</t>
  </si>
  <si>
    <t xml:space="preserve">10.Compra de Treebag </t>
  </si>
  <si>
    <t>11.Compra de Cuellos de Monja  Protectores</t>
  </si>
  <si>
    <t xml:space="preserve">12. Combustible </t>
  </si>
  <si>
    <t>13. Pago Agua INDRHI (12 meses)</t>
  </si>
  <si>
    <t>2022</t>
  </si>
  <si>
    <t>Precios de insumos actualizados a mayo, 2022.</t>
  </si>
  <si>
    <t>Viceministerio de Planificación Sectorial Agropecuaria</t>
  </si>
  <si>
    <t>Departamento de Economía Agropecuaria y Estadísticas</t>
  </si>
  <si>
    <t>Costos variables de producción de Guineo, 2022 (RD$/ tarea)</t>
  </si>
  <si>
    <t>Cantidad</t>
  </si>
  <si>
    <t>1. Hechura Hoyos, Siembra y Aplic.  Insecticida (Diazinon)</t>
  </si>
  <si>
    <t xml:space="preserve">2. Aplicación Fertilizante  (Sulfato de amonio) </t>
  </si>
  <si>
    <t xml:space="preserve">6. Aplicación Fertilizante  (Sulfato de amonio) </t>
  </si>
  <si>
    <t>11. Aplicación Fertilizante  (Formula Completa)</t>
  </si>
  <si>
    <t>20. Aplicación Fertilizante  (Completo- Bonaplex)</t>
  </si>
  <si>
    <t>31. Aplicación Fertilizante  (Completo- Bonaplex)</t>
  </si>
  <si>
    <t>40. Aplicación Fertilizante  (Completo- Bonaplex)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</si>
  <si>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 Ministerio de Agricultura, Departamento de Economía Agropecuaria y Estadísticas.</t>
    </r>
  </si>
  <si>
    <t>Mantenimiento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</si>
</sst>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.00_)"/>
    <numFmt numFmtId="188" formatCode="#,##0.0000_);\(#,##0.0000\)"/>
    <numFmt numFmtId="189" formatCode="0_)"/>
    <numFmt numFmtId="190" formatCode="0.0000_)"/>
    <numFmt numFmtId="191" formatCode="0.0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\ _€;\-#,##0.0\ _€"/>
    <numFmt numFmtId="197" formatCode="#,##0.00_ ;\-#,##0.00\ "/>
    <numFmt numFmtId="198" formatCode="_-* #,##0.00_-;\-* #,##0.00_-;_-* &quot;-&quot;??_-;_-@_-"/>
    <numFmt numFmtId="199" formatCode="_-* #,##0_-;\-* #,##0_-;_-* &quot;-&quot;??_-;_-@_-"/>
    <numFmt numFmtId="200" formatCode="0.0"/>
    <numFmt numFmtId="201" formatCode="0.000"/>
    <numFmt numFmtId="202" formatCode="#,##0.000_);\(#,##0.000\)"/>
    <numFmt numFmtId="203" formatCode="#,##0.0_);\(#,##0.0\)"/>
  </numFmts>
  <fonts count="79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b/>
      <sz val="10"/>
      <name val="Baskerville Old Face"/>
      <family val="1"/>
    </font>
    <font>
      <sz val="8"/>
      <name val="Baskerville Old Face"/>
      <family val="1"/>
    </font>
    <font>
      <sz val="10"/>
      <color indexed="9"/>
      <name val="Baskerville Old Face"/>
      <family val="1"/>
    </font>
    <font>
      <sz val="9"/>
      <name val="Arial Narrow"/>
      <family val="2"/>
    </font>
    <font>
      <b/>
      <sz val="12"/>
      <name val="Baskerville Old Face"/>
      <family val="1"/>
    </font>
    <font>
      <b/>
      <sz val="18"/>
      <name val="Baskerville Old Face"/>
      <family val="1"/>
    </font>
    <font>
      <b/>
      <sz val="9"/>
      <name val="Baskerville Old Face"/>
      <family val="1"/>
    </font>
    <font>
      <b/>
      <sz val="10"/>
      <name val="Arial Narrow"/>
      <family val="2"/>
    </font>
    <font>
      <sz val="9.5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Baskerville Old Face"/>
      <family val="1"/>
    </font>
    <font>
      <sz val="10"/>
      <color indexed="10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9"/>
      <name val="Baskerville Old Face"/>
      <family val="1"/>
    </font>
    <font>
      <sz val="9"/>
      <color indexed="9"/>
      <name val="Arial Narrow"/>
      <family val="2"/>
    </font>
    <font>
      <sz val="9"/>
      <color indexed="8"/>
      <name val="Baskerville Old Face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6"/>
      <color indexed="10"/>
      <name val="Calibri"/>
      <family val="2"/>
    </font>
    <font>
      <sz val="9"/>
      <color indexed="9"/>
      <name val="Calibri"/>
      <family val="2"/>
    </font>
    <font>
      <sz val="9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Baskerville Old Face"/>
      <family val="1"/>
    </font>
    <font>
      <sz val="10"/>
      <color rgb="FFFF0000"/>
      <name val="Baskerville Old Face"/>
      <family val="1"/>
    </font>
    <font>
      <sz val="10"/>
      <color theme="0"/>
      <name val="Baskerville Old Face"/>
      <family val="1"/>
    </font>
    <font>
      <sz val="10"/>
      <color theme="1"/>
      <name val="Baskerville Old Face"/>
      <family val="1"/>
    </font>
    <font>
      <b/>
      <sz val="10"/>
      <color theme="0"/>
      <name val="Baskerville Old Face"/>
      <family val="1"/>
    </font>
    <font>
      <sz val="9"/>
      <color theme="0"/>
      <name val="Arial Narrow"/>
      <family val="2"/>
    </font>
    <font>
      <sz val="9"/>
      <color theme="1"/>
      <name val="Baskerville Old Face"/>
      <family val="1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9" fontId="1" fillId="0" borderId="0" xfId="0" applyNumberFormat="1" applyFont="1" applyBorder="1" applyAlignment="1" applyProtection="1" quotePrefix="1">
      <alignment horizontal="left"/>
      <protection/>
    </xf>
    <xf numFmtId="43" fontId="1" fillId="0" borderId="0" xfId="47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9" fontId="1" fillId="0" borderId="0" xfId="54" applyFont="1" applyAlignment="1">
      <alignment horizontal="center"/>
    </xf>
    <xf numFmtId="187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89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89" fontId="6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 horizontal="left"/>
      <protection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0" fontId="67" fillId="33" borderId="0" xfId="0" applyFont="1" applyFill="1" applyAlignment="1">
      <alignment/>
    </xf>
    <xf numFmtId="9" fontId="67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/>
      <protection/>
    </xf>
    <xf numFmtId="188" fontId="4" fillId="33" borderId="0" xfId="0" applyNumberFormat="1" applyFont="1" applyFill="1" applyAlignment="1" applyProtection="1">
      <alignment horizontal="center"/>
      <protection/>
    </xf>
    <xf numFmtId="39" fontId="2" fillId="33" borderId="0" xfId="0" applyNumberFormat="1" applyFont="1" applyFill="1" applyAlignment="1">
      <alignment/>
    </xf>
    <xf numFmtId="189" fontId="2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 horizontal="left"/>
      <protection/>
    </xf>
    <xf numFmtId="169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39" fontId="1" fillId="33" borderId="0" xfId="0" applyNumberFormat="1" applyFont="1" applyFill="1" applyBorder="1" applyAlignment="1" applyProtection="1" quotePrefix="1">
      <alignment horizontal="left"/>
      <protection/>
    </xf>
    <xf numFmtId="0" fontId="1" fillId="33" borderId="11" xfId="0" applyFont="1" applyFill="1" applyBorder="1" applyAlignment="1">
      <alignment/>
    </xf>
    <xf numFmtId="190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89" fontId="1" fillId="33" borderId="12" xfId="0" applyNumberFormat="1" applyFont="1" applyFill="1" applyBorder="1" applyAlignment="1" applyProtection="1">
      <alignment/>
      <protection/>
    </xf>
    <xf numFmtId="9" fontId="1" fillId="33" borderId="13" xfId="54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7" applyFont="1" applyFill="1" applyBorder="1" applyAlignment="1" applyProtection="1">
      <alignment/>
      <protection/>
    </xf>
    <xf numFmtId="195" fontId="1" fillId="33" borderId="11" xfId="47" applyNumberFormat="1" applyFont="1" applyFill="1" applyBorder="1" applyAlignment="1">
      <alignment/>
    </xf>
    <xf numFmtId="7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9" fontId="1" fillId="33" borderId="14" xfId="0" applyNumberFormat="1" applyFont="1" applyFill="1" applyBorder="1" applyAlignment="1" applyProtection="1" quotePrefix="1">
      <alignment horizontal="left"/>
      <protection/>
    </xf>
    <xf numFmtId="39" fontId="1" fillId="33" borderId="15" xfId="0" applyNumberFormat="1" applyFont="1" applyFill="1" applyBorder="1" applyAlignment="1" applyProtection="1">
      <alignment/>
      <protection/>
    </xf>
    <xf numFmtId="43" fontId="1" fillId="33" borderId="15" xfId="47" applyFont="1" applyFill="1" applyBorder="1" applyAlignment="1" applyProtection="1">
      <alignment/>
      <protection/>
    </xf>
    <xf numFmtId="9" fontId="1" fillId="33" borderId="16" xfId="54" applyFont="1" applyFill="1" applyBorder="1" applyAlignment="1">
      <alignment horizontal="center"/>
    </xf>
    <xf numFmtId="10" fontId="1" fillId="33" borderId="11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fill"/>
      <protection/>
    </xf>
    <xf numFmtId="0" fontId="3" fillId="33" borderId="21" xfId="0" applyFont="1" applyFill="1" applyBorder="1" applyAlignment="1" applyProtection="1">
      <alignment horizontal="left"/>
      <protection/>
    </xf>
    <xf numFmtId="187" fontId="1" fillId="33" borderId="0" xfId="0" applyNumberFormat="1" applyFont="1" applyFill="1" applyBorder="1" applyAlignment="1" applyProtection="1">
      <alignment horizontal="fill"/>
      <protection/>
    </xf>
    <xf numFmtId="187" fontId="1" fillId="33" borderId="0" xfId="0" applyNumberFormat="1" applyFont="1" applyFill="1" applyBorder="1" applyAlignment="1" applyProtection="1">
      <alignment horizontal="left"/>
      <protection/>
    </xf>
    <xf numFmtId="196" fontId="3" fillId="33" borderId="22" xfId="0" applyNumberFormat="1" applyFont="1" applyFill="1" applyBorder="1" applyAlignment="1" applyProtection="1">
      <alignment/>
      <protection/>
    </xf>
    <xf numFmtId="189" fontId="68" fillId="33" borderId="0" xfId="0" applyNumberFormat="1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187" fontId="1" fillId="33" borderId="22" xfId="0" applyNumberFormat="1" applyFont="1" applyFill="1" applyBorder="1" applyAlignment="1" applyProtection="1">
      <alignment/>
      <protection/>
    </xf>
    <xf numFmtId="43" fontId="1" fillId="33" borderId="0" xfId="47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39" fontId="1" fillId="33" borderId="22" xfId="0" applyNumberFormat="1" applyFont="1" applyFill="1" applyBorder="1" applyAlignment="1" applyProtection="1">
      <alignment/>
      <protection/>
    </xf>
    <xf numFmtId="39" fontId="68" fillId="33" borderId="0" xfId="0" applyNumberFormat="1" applyFont="1" applyFill="1" applyAlignment="1">
      <alignment/>
    </xf>
    <xf numFmtId="189" fontId="1" fillId="33" borderId="0" xfId="0" applyNumberFormat="1" applyFont="1" applyFill="1" applyBorder="1" applyAlignment="1" applyProtection="1">
      <alignment/>
      <protection/>
    </xf>
    <xf numFmtId="9" fontId="1" fillId="33" borderId="0" xfId="54" applyFont="1" applyFill="1" applyBorder="1" applyAlignment="1">
      <alignment horizontal="center"/>
    </xf>
    <xf numFmtId="0" fontId="2" fillId="33" borderId="0" xfId="0" applyFont="1" applyFill="1" applyAlignment="1" applyProtection="1">
      <alignment horizontal="right"/>
      <protection/>
    </xf>
    <xf numFmtId="199" fontId="11" fillId="33" borderId="0" xfId="49" applyNumberFormat="1" applyFont="1" applyFill="1" applyBorder="1" applyAlignment="1" applyProtection="1">
      <alignment horizontal="left"/>
      <protection/>
    </xf>
    <xf numFmtId="0" fontId="69" fillId="33" borderId="10" xfId="0" applyFont="1" applyFill="1" applyBorder="1" applyAlignment="1" applyProtection="1">
      <alignment horizontal="left"/>
      <protection/>
    </xf>
    <xf numFmtId="0" fontId="69" fillId="33" borderId="0" xfId="0" applyFont="1" applyFill="1" applyBorder="1" applyAlignment="1">
      <alignment/>
    </xf>
    <xf numFmtId="187" fontId="69" fillId="33" borderId="0" xfId="0" applyNumberFormat="1" applyFont="1" applyFill="1" applyBorder="1" applyAlignment="1" applyProtection="1">
      <alignment/>
      <protection/>
    </xf>
    <xf numFmtId="39" fontId="69" fillId="33" borderId="0" xfId="0" applyNumberFormat="1" applyFont="1" applyFill="1" applyBorder="1" applyAlignment="1" applyProtection="1" quotePrefix="1">
      <alignment horizontal="left"/>
      <protection/>
    </xf>
    <xf numFmtId="0" fontId="69" fillId="33" borderId="11" xfId="0" applyFont="1" applyFill="1" applyBorder="1" applyAlignment="1" applyProtection="1">
      <alignment/>
      <protection locked="0"/>
    </xf>
    <xf numFmtId="190" fontId="69" fillId="33" borderId="11" xfId="0" applyNumberFormat="1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 horizontal="center"/>
      <protection/>
    </xf>
    <xf numFmtId="39" fontId="69" fillId="33" borderId="11" xfId="0" applyNumberFormat="1" applyFont="1" applyFill="1" applyBorder="1" applyAlignment="1" applyProtection="1">
      <alignment/>
      <protection/>
    </xf>
    <xf numFmtId="43" fontId="69" fillId="33" borderId="11" xfId="47" applyFont="1" applyFill="1" applyBorder="1" applyAlignment="1" applyProtection="1">
      <alignment/>
      <protection/>
    </xf>
    <xf numFmtId="9" fontId="69" fillId="33" borderId="13" xfId="54" applyFont="1" applyFill="1" applyBorder="1" applyAlignment="1">
      <alignment horizontal="center"/>
    </xf>
    <xf numFmtId="0" fontId="69" fillId="33" borderId="11" xfId="0" applyFont="1" applyFill="1" applyBorder="1" applyAlignment="1">
      <alignment/>
    </xf>
    <xf numFmtId="195" fontId="69" fillId="33" borderId="11" xfId="47" applyNumberFormat="1" applyFont="1" applyFill="1" applyBorder="1" applyAlignment="1">
      <alignment/>
    </xf>
    <xf numFmtId="0" fontId="8" fillId="13" borderId="0" xfId="0" applyFont="1" applyFill="1" applyAlignment="1" applyProtection="1">
      <alignment horizontal="center" vertical="center"/>
      <protection/>
    </xf>
    <xf numFmtId="0" fontId="1" fillId="13" borderId="23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fill"/>
      <protection/>
    </xf>
    <xf numFmtId="0" fontId="3" fillId="13" borderId="26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22" xfId="0" applyFont="1" applyFill="1" applyBorder="1" applyAlignment="1">
      <alignment/>
    </xf>
    <xf numFmtId="0" fontId="1" fillId="13" borderId="0" xfId="0" applyFont="1" applyFill="1" applyBorder="1" applyAlignment="1" applyProtection="1" quotePrefix="1">
      <alignment horizontal="left"/>
      <protection/>
    </xf>
    <xf numFmtId="0" fontId="9" fillId="13" borderId="11" xfId="0" applyFont="1" applyFill="1" applyBorder="1" applyAlignment="1">
      <alignment horizontal="center"/>
    </xf>
    <xf numFmtId="0" fontId="9" fillId="13" borderId="11" xfId="0" applyFont="1" applyFill="1" applyBorder="1" applyAlignment="1" applyProtection="1">
      <alignment horizontal="center"/>
      <protection/>
    </xf>
    <xf numFmtId="0" fontId="9" fillId="13" borderId="27" xfId="0" applyFont="1" applyFill="1" applyBorder="1" applyAlignment="1" applyProtection="1">
      <alignment horizontal="center"/>
      <protection/>
    </xf>
    <xf numFmtId="0" fontId="3" fillId="13" borderId="10" xfId="0" applyFont="1" applyFill="1" applyBorder="1" applyAlignment="1" applyProtection="1">
      <alignment horizontal="left"/>
      <protection/>
    </xf>
    <xf numFmtId="0" fontId="1" fillId="13" borderId="17" xfId="0" applyFont="1" applyFill="1" applyBorder="1" applyAlignment="1" applyProtection="1">
      <alignment horizontal="fill"/>
      <protection/>
    </xf>
    <xf numFmtId="0" fontId="1" fillId="13" borderId="14" xfId="0" applyFont="1" applyFill="1" applyBorder="1" applyAlignment="1" applyProtection="1">
      <alignment horizontal="fill"/>
      <protection/>
    </xf>
    <xf numFmtId="0" fontId="1" fillId="13" borderId="28" xfId="0" applyFont="1" applyFill="1" applyBorder="1" applyAlignment="1" applyProtection="1">
      <alignment horizontal="fill"/>
      <protection/>
    </xf>
    <xf numFmtId="0" fontId="9" fillId="13" borderId="15" xfId="0" applyFont="1" applyFill="1" applyBorder="1" applyAlignment="1" applyProtection="1">
      <alignment horizontal="center"/>
      <protection/>
    </xf>
    <xf numFmtId="0" fontId="3" fillId="13" borderId="29" xfId="0" applyFont="1" applyFill="1" applyBorder="1" applyAlignment="1" applyProtection="1">
      <alignment horizontal="left"/>
      <protection/>
    </xf>
    <xf numFmtId="0" fontId="1" fillId="13" borderId="14" xfId="0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>
      <alignment/>
    </xf>
    <xf numFmtId="196" fontId="3" fillId="13" borderId="28" xfId="0" applyNumberFormat="1" applyFont="1" applyFill="1" applyBorder="1" applyAlignment="1" applyProtection="1">
      <alignment/>
      <protection/>
    </xf>
    <xf numFmtId="0" fontId="1" fillId="13" borderId="30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fill"/>
      <protection/>
    </xf>
    <xf numFmtId="0" fontId="1" fillId="13" borderId="12" xfId="0" applyFont="1" applyFill="1" applyBorder="1" applyAlignment="1" applyProtection="1">
      <alignment horizontal="fill"/>
      <protection/>
    </xf>
    <xf numFmtId="0" fontId="1" fillId="13" borderId="19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center"/>
      <protection/>
    </xf>
    <xf numFmtId="0" fontId="1" fillId="13" borderId="31" xfId="0" applyFont="1" applyFill="1" applyBorder="1" applyAlignment="1" applyProtection="1">
      <alignment horizontal="fill"/>
      <protection/>
    </xf>
    <xf numFmtId="0" fontId="1" fillId="13" borderId="10" xfId="0" applyFont="1" applyFill="1" applyBorder="1" applyAlignment="1" applyProtection="1">
      <alignment horizontal="left"/>
      <protection/>
    </xf>
    <xf numFmtId="0" fontId="1" fillId="13" borderId="22" xfId="0" applyFont="1" applyFill="1" applyBorder="1" applyAlignment="1">
      <alignment/>
    </xf>
    <xf numFmtId="7" fontId="2" fillId="13" borderId="22" xfId="0" applyNumberFormat="1" applyFont="1" applyFill="1" applyBorder="1" applyAlignment="1" applyProtection="1">
      <alignment/>
      <protection/>
    </xf>
    <xf numFmtId="0" fontId="2" fillId="13" borderId="0" xfId="0" applyFont="1" applyFill="1" applyBorder="1" applyAlignment="1">
      <alignment/>
    </xf>
    <xf numFmtId="10" fontId="2" fillId="13" borderId="22" xfId="0" applyNumberFormat="1" applyFont="1" applyFill="1" applyBorder="1" applyAlignment="1" applyProtection="1">
      <alignment/>
      <protection/>
    </xf>
    <xf numFmtId="0" fontId="1" fillId="13" borderId="0" xfId="0" applyFont="1" applyFill="1" applyBorder="1" applyAlignment="1" applyProtection="1">
      <alignment horizontal="left"/>
      <protection/>
    </xf>
    <xf numFmtId="0" fontId="1" fillId="13" borderId="0" xfId="0" applyFont="1" applyFill="1" applyBorder="1" applyAlignment="1">
      <alignment horizontal="center"/>
    </xf>
    <xf numFmtId="7" fontId="2" fillId="13" borderId="11" xfId="0" applyNumberFormat="1" applyFont="1" applyFill="1" applyBorder="1" applyAlignment="1" applyProtection="1">
      <alignment/>
      <protection/>
    </xf>
    <xf numFmtId="10" fontId="2" fillId="13" borderId="13" xfId="0" applyNumberFormat="1" applyFont="1" applyFill="1" applyBorder="1" applyAlignment="1" applyProtection="1">
      <alignment/>
      <protection/>
    </xf>
    <xf numFmtId="10" fontId="2" fillId="13" borderId="32" xfId="0" applyNumberFormat="1" applyFont="1" applyFill="1" applyBorder="1" applyAlignment="1" applyProtection="1">
      <alignment/>
      <protection/>
    </xf>
    <xf numFmtId="0" fontId="2" fillId="13" borderId="28" xfId="0" applyFont="1" applyFill="1" applyBorder="1" applyAlignment="1" applyProtection="1">
      <alignment horizontal="fill"/>
      <protection/>
    </xf>
    <xf numFmtId="0" fontId="2" fillId="13" borderId="14" xfId="0" applyFont="1" applyFill="1" applyBorder="1" applyAlignment="1" applyProtection="1">
      <alignment horizontal="fill"/>
      <protection/>
    </xf>
    <xf numFmtId="0" fontId="2" fillId="13" borderId="15" xfId="0" applyFont="1" applyFill="1" applyBorder="1" applyAlignment="1" applyProtection="1">
      <alignment horizontal="fill"/>
      <protection/>
    </xf>
    <xf numFmtId="0" fontId="2" fillId="13" borderId="33" xfId="0" applyFont="1" applyFill="1" applyBorder="1" applyAlignment="1" applyProtection="1">
      <alignment horizontal="fill"/>
      <protection/>
    </xf>
    <xf numFmtId="0" fontId="67" fillId="33" borderId="10" xfId="0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>
      <alignment/>
    </xf>
    <xf numFmtId="0" fontId="67" fillId="33" borderId="11" xfId="0" applyFont="1" applyFill="1" applyBorder="1" applyAlignment="1">
      <alignment/>
    </xf>
    <xf numFmtId="190" fontId="67" fillId="33" borderId="11" xfId="0" applyNumberFormat="1" applyFont="1" applyFill="1" applyBorder="1" applyAlignment="1" applyProtection="1">
      <alignment/>
      <protection/>
    </xf>
    <xf numFmtId="0" fontId="67" fillId="34" borderId="10" xfId="0" applyFont="1" applyFill="1" applyBorder="1" applyAlignment="1" applyProtection="1">
      <alignment horizontal="left"/>
      <protection/>
    </xf>
    <xf numFmtId="0" fontId="67" fillId="34" borderId="11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39" fontId="69" fillId="34" borderId="11" xfId="0" applyNumberFormat="1" applyFont="1" applyFill="1" applyBorder="1" applyAlignment="1" applyProtection="1">
      <alignment/>
      <protection/>
    </xf>
    <xf numFmtId="0" fontId="69" fillId="34" borderId="0" xfId="0" applyFont="1" applyFill="1" applyBorder="1" applyAlignment="1">
      <alignment/>
    </xf>
    <xf numFmtId="39" fontId="69" fillId="34" borderId="0" xfId="0" applyNumberFormat="1" applyFont="1" applyFill="1" applyBorder="1" applyAlignment="1" applyProtection="1" quotePrefix="1">
      <alignment horizontal="left"/>
      <protection/>
    </xf>
    <xf numFmtId="190" fontId="69" fillId="34" borderId="11" xfId="0" applyNumberFormat="1" applyFont="1" applyFill="1" applyBorder="1" applyAlignment="1" applyProtection="1">
      <alignment/>
      <protection/>
    </xf>
    <xf numFmtId="0" fontId="69" fillId="34" borderId="11" xfId="0" applyFont="1" applyFill="1" applyBorder="1" applyAlignment="1" applyProtection="1">
      <alignment horizontal="center"/>
      <protection/>
    </xf>
    <xf numFmtId="0" fontId="69" fillId="34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9" fontId="1" fillId="33" borderId="22" xfId="0" applyNumberFormat="1" applyFont="1" applyFill="1" applyBorder="1" applyAlignment="1" applyProtection="1" quotePrefix="1">
      <alignment horizontal="left"/>
      <protection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197" fontId="68" fillId="0" borderId="0" xfId="0" applyNumberFormat="1" applyFont="1" applyAlignment="1">
      <alignment/>
    </xf>
    <xf numFmtId="0" fontId="68" fillId="0" borderId="0" xfId="0" applyFont="1" applyBorder="1" applyAlignment="1">
      <alignment/>
    </xf>
    <xf numFmtId="0" fontId="68" fillId="33" borderId="0" xfId="0" applyFont="1" applyFill="1" applyAlignment="1">
      <alignment/>
    </xf>
    <xf numFmtId="0" fontId="71" fillId="0" borderId="0" xfId="0" applyFont="1" applyAlignment="1">
      <alignment/>
    </xf>
    <xf numFmtId="197" fontId="68" fillId="33" borderId="0" xfId="0" applyNumberFormat="1" applyFont="1" applyFill="1" applyAlignment="1">
      <alignment/>
    </xf>
    <xf numFmtId="0" fontId="69" fillId="33" borderId="10" xfId="0" applyFont="1" applyFill="1" applyBorder="1" applyAlignment="1">
      <alignment/>
    </xf>
    <xf numFmtId="0" fontId="69" fillId="33" borderId="11" xfId="0" applyFont="1" applyFill="1" applyBorder="1" applyAlignment="1">
      <alignment horizontal="center"/>
    </xf>
    <xf numFmtId="7" fontId="69" fillId="33" borderId="0" xfId="0" applyNumberFormat="1" applyFont="1" applyFill="1" applyBorder="1" applyAlignment="1" applyProtection="1">
      <alignment/>
      <protection/>
    </xf>
    <xf numFmtId="0" fontId="69" fillId="33" borderId="15" xfId="0" applyFont="1" applyFill="1" applyBorder="1" applyAlignment="1">
      <alignment/>
    </xf>
    <xf numFmtId="190" fontId="69" fillId="33" borderId="15" xfId="0" applyNumberFormat="1" applyFont="1" applyFill="1" applyBorder="1" applyAlignment="1" applyProtection="1">
      <alignment/>
      <protection/>
    </xf>
    <xf numFmtId="0" fontId="69" fillId="33" borderId="15" xfId="0" applyFont="1" applyFill="1" applyBorder="1" applyAlignment="1">
      <alignment horizontal="center"/>
    </xf>
    <xf numFmtId="39" fontId="69" fillId="33" borderId="15" xfId="0" applyNumberFormat="1" applyFont="1" applyFill="1" applyBorder="1" applyAlignment="1" applyProtection="1">
      <alignment/>
      <protection/>
    </xf>
    <xf numFmtId="43" fontId="69" fillId="33" borderId="15" xfId="47" applyFont="1" applyFill="1" applyBorder="1" applyAlignment="1" applyProtection="1">
      <alignment/>
      <protection/>
    </xf>
    <xf numFmtId="9" fontId="69" fillId="33" borderId="16" xfId="54" applyFont="1" applyFill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0" xfId="0" applyFont="1" applyBorder="1" applyAlignment="1">
      <alignment/>
    </xf>
    <xf numFmtId="7" fontId="69" fillId="0" borderId="0" xfId="0" applyNumberFormat="1" applyFont="1" applyBorder="1" applyAlignment="1" applyProtection="1">
      <alignment/>
      <protection/>
    </xf>
    <xf numFmtId="39" fontId="69" fillId="0" borderId="0" xfId="0" applyNumberFormat="1" applyFont="1" applyBorder="1" applyAlignment="1" applyProtection="1" quotePrefix="1">
      <alignment horizontal="left"/>
      <protection/>
    </xf>
    <xf numFmtId="190" fontId="69" fillId="0" borderId="0" xfId="0" applyNumberFormat="1" applyFont="1" applyBorder="1" applyAlignment="1" applyProtection="1">
      <alignment/>
      <protection/>
    </xf>
    <xf numFmtId="0" fontId="69" fillId="0" borderId="0" xfId="0" applyFont="1" applyBorder="1" applyAlignment="1">
      <alignment horizontal="center"/>
    </xf>
    <xf numFmtId="39" fontId="69" fillId="0" borderId="0" xfId="0" applyNumberFormat="1" applyFont="1" applyBorder="1" applyAlignment="1" applyProtection="1">
      <alignment/>
      <protection/>
    </xf>
    <xf numFmtId="43" fontId="69" fillId="0" borderId="0" xfId="47" applyFont="1" applyBorder="1" applyAlignment="1" applyProtection="1">
      <alignment/>
      <protection/>
    </xf>
    <xf numFmtId="9" fontId="69" fillId="0" borderId="13" xfId="54" applyFont="1" applyBorder="1" applyAlignment="1">
      <alignment horizontal="center"/>
    </xf>
    <xf numFmtId="10" fontId="69" fillId="33" borderId="11" xfId="0" applyNumberFormat="1" applyFont="1" applyFill="1" applyBorder="1" applyAlignment="1" applyProtection="1">
      <alignment/>
      <protection/>
    </xf>
    <xf numFmtId="39" fontId="69" fillId="33" borderId="22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69" fillId="33" borderId="30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39" fontId="69" fillId="33" borderId="19" xfId="0" applyNumberFormat="1" applyFont="1" applyFill="1" applyBorder="1" applyAlignment="1" applyProtection="1" quotePrefix="1">
      <alignment horizontal="left"/>
      <protection/>
    </xf>
    <xf numFmtId="0" fontId="69" fillId="33" borderId="12" xfId="0" applyFont="1" applyFill="1" applyBorder="1" applyAlignment="1">
      <alignment horizontal="center"/>
    </xf>
    <xf numFmtId="190" fontId="69" fillId="33" borderId="12" xfId="0" applyNumberFormat="1" applyFont="1" applyFill="1" applyBorder="1" applyAlignment="1" applyProtection="1">
      <alignment/>
      <protection/>
    </xf>
    <xf numFmtId="39" fontId="69" fillId="33" borderId="12" xfId="0" applyNumberFormat="1" applyFont="1" applyFill="1" applyBorder="1" applyAlignment="1" applyProtection="1">
      <alignment/>
      <protection/>
    </xf>
    <xf numFmtId="0" fontId="69" fillId="33" borderId="12" xfId="0" applyFont="1" applyFill="1" applyBorder="1" applyAlignment="1">
      <alignment/>
    </xf>
    <xf numFmtId="43" fontId="69" fillId="33" borderId="12" xfId="47" applyFont="1" applyFill="1" applyBorder="1" applyAlignment="1" applyProtection="1">
      <alignment/>
      <protection/>
    </xf>
    <xf numFmtId="9" fontId="69" fillId="33" borderId="31" xfId="54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90" fontId="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39" fontId="1" fillId="33" borderId="12" xfId="0" applyNumberFormat="1" applyFont="1" applyFill="1" applyBorder="1" applyAlignment="1" applyProtection="1">
      <alignment/>
      <protection/>
    </xf>
    <xf numFmtId="9" fontId="1" fillId="33" borderId="31" xfId="54" applyFont="1" applyFill="1" applyBorder="1" applyAlignment="1">
      <alignment horizontal="center"/>
    </xf>
    <xf numFmtId="190" fontId="1" fillId="33" borderId="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43" fontId="1" fillId="33" borderId="0" xfId="47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9" fontId="1" fillId="33" borderId="19" xfId="0" applyNumberFormat="1" applyFont="1" applyFill="1" applyBorder="1" applyAlignment="1" applyProtection="1" quotePrefix="1">
      <alignment horizontal="left"/>
      <protection/>
    </xf>
    <xf numFmtId="0" fontId="1" fillId="33" borderId="12" xfId="0" applyFont="1" applyFill="1" applyBorder="1" applyAlignment="1">
      <alignment/>
    </xf>
    <xf numFmtId="190" fontId="1" fillId="33" borderId="22" xfId="0" applyNumberFormat="1" applyFont="1" applyFill="1" applyBorder="1" applyAlignment="1" applyProtection="1">
      <alignment/>
      <protection/>
    </xf>
    <xf numFmtId="9" fontId="1" fillId="33" borderId="32" xfId="54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8" fontId="72" fillId="33" borderId="0" xfId="0" applyNumberFormat="1" applyFont="1" applyFill="1" applyAlignment="1" applyProtection="1">
      <alignment horizontal="left"/>
      <protection/>
    </xf>
    <xf numFmtId="39" fontId="72" fillId="33" borderId="0" xfId="0" applyNumberFormat="1" applyFont="1" applyFill="1" applyAlignment="1" applyProtection="1">
      <alignment horizontal="center"/>
      <protection/>
    </xf>
    <xf numFmtId="0" fontId="72" fillId="33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39" fontId="72" fillId="33" borderId="0" xfId="0" applyNumberFormat="1" applyFont="1" applyFill="1" applyAlignment="1" applyProtection="1">
      <alignment/>
      <protection/>
    </xf>
    <xf numFmtId="0" fontId="37" fillId="35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 applyProtection="1">
      <alignment/>
      <protection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9" fontId="39" fillId="33" borderId="0" xfId="54" applyFont="1" applyFill="1" applyAlignment="1">
      <alignment horizontal="center"/>
    </xf>
    <xf numFmtId="0" fontId="73" fillId="33" borderId="0" xfId="0" applyFont="1" applyFill="1" applyAlignment="1">
      <alignment/>
    </xf>
    <xf numFmtId="0" fontId="39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left"/>
      <protection/>
    </xf>
    <xf numFmtId="39" fontId="74" fillId="33" borderId="0" xfId="0" applyNumberFormat="1" applyFont="1" applyFill="1" applyAlignment="1" applyProtection="1">
      <alignment horizontal="center"/>
      <protection/>
    </xf>
    <xf numFmtId="0" fontId="74" fillId="33" borderId="0" xfId="0" applyFont="1" applyFill="1" applyAlignment="1">
      <alignment horizontal="center"/>
    </xf>
    <xf numFmtId="39" fontId="12" fillId="33" borderId="0" xfId="0" applyNumberFormat="1" applyFont="1" applyFill="1" applyAlignment="1" applyProtection="1">
      <alignment/>
      <protection/>
    </xf>
    <xf numFmtId="188" fontId="42" fillId="33" borderId="0" xfId="0" applyNumberFormat="1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right"/>
      <protection/>
    </xf>
    <xf numFmtId="189" fontId="12" fillId="33" borderId="0" xfId="0" applyNumberFormat="1" applyFont="1" applyFill="1" applyAlignment="1" applyProtection="1">
      <alignment horizontal="left"/>
      <protection/>
    </xf>
    <xf numFmtId="0" fontId="43" fillId="33" borderId="0" xfId="0" applyFont="1" applyFill="1" applyAlignment="1" applyProtection="1">
      <alignment/>
      <protection/>
    </xf>
    <xf numFmtId="169" fontId="12" fillId="33" borderId="0" xfId="0" applyNumberFormat="1" applyFont="1" applyFill="1" applyAlignment="1" applyProtection="1">
      <alignment horizontal="left"/>
      <protection/>
    </xf>
    <xf numFmtId="0" fontId="73" fillId="0" borderId="0" xfId="0" applyFont="1" applyAlignment="1">
      <alignment/>
    </xf>
    <xf numFmtId="0" fontId="73" fillId="35" borderId="10" xfId="0" applyFont="1" applyFill="1" applyBorder="1" applyAlignment="1" applyProtection="1">
      <alignment horizontal="fill"/>
      <protection/>
    </xf>
    <xf numFmtId="0" fontId="73" fillId="35" borderId="0" xfId="0" applyFont="1" applyFill="1" applyBorder="1" applyAlignment="1" applyProtection="1">
      <alignment horizontal="fill"/>
      <protection/>
    </xf>
    <xf numFmtId="0" fontId="73" fillId="35" borderId="24" xfId="0" applyFont="1" applyFill="1" applyBorder="1" applyAlignment="1" applyProtection="1">
      <alignment horizontal="center"/>
      <protection/>
    </xf>
    <xf numFmtId="0" fontId="75" fillId="35" borderId="26" xfId="0" applyFont="1" applyFill="1" applyBorder="1" applyAlignment="1">
      <alignment/>
    </xf>
    <xf numFmtId="0" fontId="75" fillId="35" borderId="34" xfId="0" applyFont="1" applyFill="1" applyBorder="1" applyAlignment="1">
      <alignment/>
    </xf>
    <xf numFmtId="0" fontId="75" fillId="35" borderId="35" xfId="0" applyFont="1" applyFill="1" applyBorder="1" applyAlignment="1">
      <alignment/>
    </xf>
    <xf numFmtId="0" fontId="75" fillId="35" borderId="10" xfId="0" applyFont="1" applyFill="1" applyBorder="1" applyAlignment="1" applyProtection="1">
      <alignment horizontal="left"/>
      <protection/>
    </xf>
    <xf numFmtId="0" fontId="75" fillId="35" borderId="0" xfId="0" applyFont="1" applyFill="1" applyBorder="1" applyAlignment="1">
      <alignment/>
    </xf>
    <xf numFmtId="0" fontId="75" fillId="35" borderId="22" xfId="0" applyFont="1" applyFill="1" applyBorder="1" applyAlignment="1">
      <alignment/>
    </xf>
    <xf numFmtId="0" fontId="73" fillId="35" borderId="22" xfId="0" applyFont="1" applyFill="1" applyBorder="1" applyAlignment="1" applyProtection="1">
      <alignment horizontal="fill"/>
      <protection/>
    </xf>
    <xf numFmtId="0" fontId="43" fillId="33" borderId="26" xfId="0" applyFont="1" applyFill="1" applyBorder="1" applyAlignment="1" applyProtection="1">
      <alignment horizontal="left"/>
      <protection/>
    </xf>
    <xf numFmtId="0" fontId="39" fillId="33" borderId="34" xfId="0" applyFont="1" applyFill="1" applyBorder="1" applyAlignment="1">
      <alignment/>
    </xf>
    <xf numFmtId="0" fontId="39" fillId="33" borderId="27" xfId="0" applyFont="1" applyFill="1" applyBorder="1" applyAlignment="1">
      <alignment horizontal="center"/>
    </xf>
    <xf numFmtId="9" fontId="39" fillId="33" borderId="36" xfId="54" applyFont="1" applyFill="1" applyBorder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/>
    </xf>
    <xf numFmtId="0" fontId="39" fillId="33" borderId="0" xfId="0" applyFont="1" applyFill="1" applyBorder="1" applyAlignment="1">
      <alignment/>
    </xf>
    <xf numFmtId="187" fontId="39" fillId="33" borderId="0" xfId="0" applyNumberFormat="1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/>
      <protection/>
    </xf>
    <xf numFmtId="9" fontId="76" fillId="33" borderId="13" xfId="54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76" fillId="33" borderId="10" xfId="0" applyFont="1" applyFill="1" applyBorder="1" applyAlignment="1" applyProtection="1">
      <alignment horizontal="left"/>
      <protection/>
    </xf>
    <xf numFmtId="0" fontId="76" fillId="33" borderId="0" xfId="0" applyFont="1" applyFill="1" applyBorder="1" applyAlignment="1">
      <alignment/>
    </xf>
    <xf numFmtId="0" fontId="76" fillId="33" borderId="11" xfId="0" applyFont="1" applyFill="1" applyBorder="1" applyAlignment="1" applyProtection="1">
      <alignment horizontal="center"/>
      <protection/>
    </xf>
    <xf numFmtId="197" fontId="39" fillId="33" borderId="0" xfId="0" applyNumberFormat="1" applyFont="1" applyFill="1" applyAlignment="1">
      <alignment/>
    </xf>
    <xf numFmtId="197" fontId="73" fillId="33" borderId="0" xfId="0" applyNumberFormat="1" applyFont="1" applyFill="1" applyAlignment="1">
      <alignment/>
    </xf>
    <xf numFmtId="9" fontId="39" fillId="33" borderId="13" xfId="54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 applyProtection="1">
      <alignment horizontal="left"/>
      <protection/>
    </xf>
    <xf numFmtId="0" fontId="77" fillId="33" borderId="0" xfId="0" applyFont="1" applyFill="1" applyAlignment="1">
      <alignment/>
    </xf>
    <xf numFmtId="9" fontId="39" fillId="33" borderId="32" xfId="54" applyFont="1" applyFill="1" applyBorder="1" applyAlignment="1">
      <alignment horizontal="center"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39" fillId="33" borderId="37" xfId="0" applyFont="1" applyFill="1" applyBorder="1" applyAlignment="1">
      <alignment horizontal="center"/>
    </xf>
    <xf numFmtId="9" fontId="39" fillId="33" borderId="38" xfId="54" applyFont="1" applyFill="1" applyBorder="1" applyAlignment="1">
      <alignment horizontal="center"/>
    </xf>
    <xf numFmtId="0" fontId="39" fillId="33" borderId="26" xfId="0" applyFont="1" applyFill="1" applyBorder="1" applyAlignment="1" applyProtection="1">
      <alignment horizontal="left"/>
      <protection/>
    </xf>
    <xf numFmtId="0" fontId="39" fillId="33" borderId="27" xfId="0" applyFont="1" applyFill="1" applyBorder="1" applyAlignment="1" applyProtection="1">
      <alignment horizontal="center"/>
      <protection/>
    </xf>
    <xf numFmtId="9" fontId="39" fillId="33" borderId="39" xfId="54" applyFont="1" applyFill="1" applyBorder="1" applyAlignment="1">
      <alignment horizontal="center"/>
    </xf>
    <xf numFmtId="0" fontId="76" fillId="33" borderId="10" xfId="0" applyFont="1" applyFill="1" applyBorder="1" applyAlignment="1">
      <alignment/>
    </xf>
    <xf numFmtId="0" fontId="76" fillId="33" borderId="11" xfId="0" applyFont="1" applyFill="1" applyBorder="1" applyAlignment="1">
      <alignment horizontal="center"/>
    </xf>
    <xf numFmtId="9" fontId="76" fillId="33" borderId="32" xfId="54" applyFont="1" applyFill="1" applyBorder="1" applyAlignment="1">
      <alignment horizontal="center"/>
    </xf>
    <xf numFmtId="7" fontId="76" fillId="33" borderId="0" xfId="0" applyNumberFormat="1" applyFont="1" applyFill="1" applyBorder="1" applyAlignment="1" applyProtection="1">
      <alignment/>
      <protection/>
    </xf>
    <xf numFmtId="7" fontId="39" fillId="33" borderId="0" xfId="0" applyNumberFormat="1" applyFont="1" applyFill="1" applyBorder="1" applyAlignment="1" applyProtection="1">
      <alignment/>
      <protection/>
    </xf>
    <xf numFmtId="0" fontId="73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33" borderId="23" xfId="0" applyFont="1" applyFill="1" applyBorder="1" applyAlignment="1" applyProtection="1">
      <alignment horizontal="left" wrapText="1"/>
      <protection/>
    </xf>
    <xf numFmtId="0" fontId="39" fillId="33" borderId="24" xfId="0" applyFont="1" applyFill="1" applyBorder="1" applyAlignment="1" applyProtection="1">
      <alignment horizontal="left" wrapText="1"/>
      <protection/>
    </xf>
    <xf numFmtId="9" fontId="39" fillId="33" borderId="40" xfId="54" applyFont="1" applyFill="1" applyBorder="1" applyAlignment="1">
      <alignment horizontal="center"/>
    </xf>
    <xf numFmtId="0" fontId="39" fillId="33" borderId="26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13" fontId="39" fillId="33" borderId="0" xfId="54" applyNumberFormat="1" applyFont="1" applyFill="1" applyBorder="1" applyAlignment="1">
      <alignment horizontal="center"/>
    </xf>
    <xf numFmtId="0" fontId="39" fillId="33" borderId="30" xfId="0" applyFont="1" applyFill="1" applyBorder="1" applyAlignment="1" applyProtection="1">
      <alignment horizontal="fill"/>
      <protection/>
    </xf>
    <xf numFmtId="0" fontId="39" fillId="33" borderId="19" xfId="0" applyFont="1" applyFill="1" applyBorder="1" applyAlignment="1" applyProtection="1">
      <alignment horizontal="fill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fill"/>
      <protection/>
    </xf>
    <xf numFmtId="187" fontId="39" fillId="33" borderId="0" xfId="0" applyNumberFormat="1" applyFont="1" applyFill="1" applyBorder="1" applyAlignment="1" applyProtection="1">
      <alignment horizontal="fill"/>
      <protection/>
    </xf>
    <xf numFmtId="0" fontId="39" fillId="33" borderId="0" xfId="0" applyFont="1" applyFill="1" applyBorder="1" applyAlignment="1" applyProtection="1">
      <alignment horizontal="center"/>
      <protection/>
    </xf>
    <xf numFmtId="9" fontId="76" fillId="33" borderId="0" xfId="54" applyFont="1" applyFill="1" applyAlignment="1">
      <alignment horizontal="center"/>
    </xf>
    <xf numFmtId="0" fontId="75" fillId="36" borderId="17" xfId="0" applyFont="1" applyFill="1" applyBorder="1" applyAlignment="1" applyProtection="1">
      <alignment horizontal="left"/>
      <protection/>
    </xf>
    <xf numFmtId="0" fontId="73" fillId="36" borderId="14" xfId="0" applyFont="1" applyFill="1" applyBorder="1" applyAlignment="1" applyProtection="1">
      <alignment horizontal="fill"/>
      <protection/>
    </xf>
    <xf numFmtId="0" fontId="73" fillId="36" borderId="14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left"/>
      <protection/>
    </xf>
    <xf numFmtId="9" fontId="39" fillId="33" borderId="0" xfId="54" applyFont="1" applyFill="1" applyBorder="1" applyAlignment="1">
      <alignment horizontal="center"/>
    </xf>
    <xf numFmtId="0" fontId="39" fillId="33" borderId="30" xfId="0" applyFont="1" applyFill="1" applyBorder="1" applyAlignment="1" applyProtection="1">
      <alignment horizontal="left"/>
      <protection/>
    </xf>
    <xf numFmtId="0" fontId="39" fillId="33" borderId="20" xfId="0" applyFont="1" applyFill="1" applyBorder="1" applyAlignment="1">
      <alignment/>
    </xf>
    <xf numFmtId="0" fontId="12" fillId="0" borderId="0" xfId="0" applyFont="1" applyAlignment="1">
      <alignment/>
    </xf>
    <xf numFmtId="0" fontId="39" fillId="33" borderId="22" xfId="0" applyFont="1" applyFill="1" applyBorder="1" applyAlignment="1">
      <alignment/>
    </xf>
    <xf numFmtId="0" fontId="39" fillId="33" borderId="17" xfId="0" applyFont="1" applyFill="1" applyBorder="1" applyAlignment="1" applyProtection="1">
      <alignment horizontal="fill"/>
      <protection/>
    </xf>
    <xf numFmtId="0" fontId="39" fillId="33" borderId="28" xfId="0" applyFont="1" applyFill="1" applyBorder="1" applyAlignment="1" applyProtection="1">
      <alignment horizontal="fill"/>
      <protection/>
    </xf>
    <xf numFmtId="0" fontId="12" fillId="33" borderId="28" xfId="0" applyFont="1" applyFill="1" applyBorder="1" applyAlignment="1" applyProtection="1">
      <alignment horizontal="fill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78" fillId="33" borderId="0" xfId="0" applyFont="1" applyFill="1" applyAlignment="1">
      <alignment/>
    </xf>
    <xf numFmtId="7" fontId="12" fillId="33" borderId="0" xfId="0" applyNumberFormat="1" applyFont="1" applyFill="1" applyAlignment="1" applyProtection="1">
      <alignment/>
      <protection/>
    </xf>
    <xf numFmtId="0" fontId="39" fillId="0" borderId="0" xfId="0" applyFont="1" applyAlignment="1">
      <alignment horizontal="center"/>
    </xf>
    <xf numFmtId="9" fontId="39" fillId="0" borderId="0" xfId="54" applyFont="1" applyAlignment="1">
      <alignment horizontal="center"/>
    </xf>
    <xf numFmtId="0" fontId="75" fillId="35" borderId="22" xfId="0" applyFont="1" applyFill="1" applyBorder="1" applyAlignment="1">
      <alignment horizontal="center"/>
    </xf>
    <xf numFmtId="0" fontId="75" fillId="35" borderId="11" xfId="0" applyFont="1" applyFill="1" applyBorder="1" applyAlignment="1">
      <alignment horizontal="center"/>
    </xf>
    <xf numFmtId="0" fontId="75" fillId="35" borderId="11" xfId="0" applyFont="1" applyFill="1" applyBorder="1" applyAlignment="1" applyProtection="1">
      <alignment horizontal="center"/>
      <protection/>
    </xf>
    <xf numFmtId="0" fontId="75" fillId="35" borderId="27" xfId="0" applyFont="1" applyFill="1" applyBorder="1" applyAlignment="1" applyProtection="1">
      <alignment horizontal="center"/>
      <protection/>
    </xf>
    <xf numFmtId="0" fontId="75" fillId="35" borderId="22" xfId="0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>
      <alignment horizontal="center" vertical="center"/>
    </xf>
    <xf numFmtId="9" fontId="39" fillId="33" borderId="13" xfId="54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9" fontId="76" fillId="33" borderId="32" xfId="54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9" fontId="39" fillId="33" borderId="16" xfId="54" applyFont="1" applyFill="1" applyBorder="1" applyAlignment="1">
      <alignment horizontal="center" vertical="center"/>
    </xf>
    <xf numFmtId="7" fontId="12" fillId="33" borderId="20" xfId="0" applyNumberFormat="1" applyFont="1" applyFill="1" applyBorder="1" applyAlignment="1" applyProtection="1">
      <alignment horizontal="center"/>
      <protection/>
    </xf>
    <xf numFmtId="7" fontId="12" fillId="33" borderId="22" xfId="0" applyNumberFormat="1" applyFont="1" applyFill="1" applyBorder="1" applyAlignment="1" applyProtection="1">
      <alignment horizontal="center"/>
      <protection/>
    </xf>
    <xf numFmtId="10" fontId="12" fillId="33" borderId="20" xfId="0" applyNumberFormat="1" applyFont="1" applyFill="1" applyBorder="1" applyAlignment="1" applyProtection="1">
      <alignment horizontal="center"/>
      <protection/>
    </xf>
    <xf numFmtId="10" fontId="12" fillId="33" borderId="22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Alignment="1">
      <alignment horizontal="center"/>
    </xf>
    <xf numFmtId="39" fontId="12" fillId="33" borderId="0" xfId="0" applyNumberFormat="1" applyFont="1" applyFill="1" applyAlignment="1">
      <alignment horizontal="center"/>
    </xf>
    <xf numFmtId="190" fontId="39" fillId="33" borderId="27" xfId="0" applyNumberFormat="1" applyFont="1" applyFill="1" applyBorder="1" applyAlignment="1" applyProtection="1">
      <alignment horizontal="center"/>
      <protection/>
    </xf>
    <xf numFmtId="190" fontId="39" fillId="33" borderId="11" xfId="0" applyNumberFormat="1" applyFont="1" applyFill="1" applyBorder="1" applyAlignment="1" applyProtection="1">
      <alignment horizontal="center"/>
      <protection/>
    </xf>
    <xf numFmtId="190" fontId="76" fillId="33" borderId="11" xfId="0" applyNumberFormat="1" applyFont="1" applyFill="1" applyBorder="1" applyAlignment="1" applyProtection="1">
      <alignment horizontal="center"/>
      <protection/>
    </xf>
    <xf numFmtId="190" fontId="39" fillId="33" borderId="11" xfId="0" applyNumberFormat="1" applyFont="1" applyFill="1" applyBorder="1" applyAlignment="1" applyProtection="1">
      <alignment horizontal="center" vertical="center"/>
      <protection/>
    </xf>
    <xf numFmtId="190" fontId="39" fillId="33" borderId="0" xfId="0" applyNumberFormat="1" applyFont="1" applyFill="1" applyBorder="1" applyAlignment="1" applyProtection="1">
      <alignment horizontal="center"/>
      <protection/>
    </xf>
    <xf numFmtId="190" fontId="39" fillId="33" borderId="22" xfId="0" applyNumberFormat="1" applyFont="1" applyFill="1" applyBorder="1" applyAlignment="1" applyProtection="1">
      <alignment horizontal="center"/>
      <protection/>
    </xf>
    <xf numFmtId="190" fontId="39" fillId="33" borderId="25" xfId="0" applyNumberFormat="1" applyFont="1" applyFill="1" applyBorder="1" applyAlignment="1" applyProtection="1">
      <alignment horizontal="center"/>
      <protection/>
    </xf>
    <xf numFmtId="190" fontId="76" fillId="33" borderId="11" xfId="0" applyNumberFormat="1" applyFont="1" applyFill="1" applyBorder="1" applyAlignment="1" applyProtection="1">
      <alignment horizontal="center" vertical="center"/>
      <protection/>
    </xf>
    <xf numFmtId="191" fontId="39" fillId="33" borderId="11" xfId="0" applyNumberFormat="1" applyFont="1" applyFill="1" applyBorder="1" applyAlignment="1">
      <alignment horizontal="center" vertical="center"/>
    </xf>
    <xf numFmtId="191" fontId="39" fillId="33" borderId="37" xfId="0" applyNumberFormat="1" applyFont="1" applyFill="1" applyBorder="1" applyAlignment="1">
      <alignment horizontal="center"/>
    </xf>
    <xf numFmtId="191" fontId="39" fillId="33" borderId="15" xfId="0" applyNumberFormat="1" applyFont="1" applyFill="1" applyBorder="1" applyAlignment="1">
      <alignment horizontal="center" vertical="center"/>
    </xf>
    <xf numFmtId="39" fontId="12" fillId="33" borderId="0" xfId="0" applyNumberFormat="1" applyFont="1" applyFill="1" applyAlignment="1" applyProtection="1">
      <alignment horizontal="center"/>
      <protection/>
    </xf>
    <xf numFmtId="199" fontId="48" fillId="33" borderId="0" xfId="49" applyNumberFormat="1" applyFont="1" applyFill="1" applyBorder="1" applyAlignment="1" applyProtection="1">
      <alignment horizontal="center"/>
      <protection/>
    </xf>
    <xf numFmtId="49" fontId="37" fillId="33" borderId="0" xfId="0" applyNumberFormat="1" applyFont="1" applyFill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center"/>
      <protection locked="0"/>
    </xf>
    <xf numFmtId="195" fontId="39" fillId="33" borderId="11" xfId="47" applyNumberFormat="1" applyFont="1" applyFill="1" applyBorder="1" applyAlignment="1">
      <alignment horizontal="center"/>
    </xf>
    <xf numFmtId="10" fontId="76" fillId="33" borderId="11" xfId="0" applyNumberFormat="1" applyFont="1" applyFill="1" applyBorder="1" applyAlignment="1" applyProtection="1">
      <alignment horizontal="center"/>
      <protection/>
    </xf>
    <xf numFmtId="195" fontId="76" fillId="33" borderId="11" xfId="47" applyNumberFormat="1" applyFont="1" applyFill="1" applyBorder="1" applyAlignment="1">
      <alignment horizontal="center"/>
    </xf>
    <xf numFmtId="10" fontId="39" fillId="33" borderId="11" xfId="0" applyNumberFormat="1" applyFont="1" applyFill="1" applyBorder="1" applyAlignment="1" applyProtection="1">
      <alignment horizontal="center"/>
      <protection/>
    </xf>
    <xf numFmtId="195" fontId="39" fillId="33" borderId="37" xfId="47" applyNumberFormat="1" applyFont="1" applyFill="1" applyBorder="1" applyAlignment="1">
      <alignment horizontal="center"/>
    </xf>
    <xf numFmtId="195" fontId="39" fillId="33" borderId="15" xfId="47" applyNumberFormat="1" applyFont="1" applyFill="1" applyBorder="1" applyAlignment="1">
      <alignment horizontal="center"/>
    </xf>
    <xf numFmtId="0" fontId="12" fillId="33" borderId="28" xfId="0" applyFont="1" applyFill="1" applyBorder="1" applyAlignment="1" applyProtection="1">
      <alignment horizontal="center"/>
      <protection/>
    </xf>
    <xf numFmtId="7" fontId="12" fillId="33" borderId="0" xfId="0" applyNumberFormat="1" applyFont="1" applyFill="1" applyAlignment="1" applyProtection="1">
      <alignment horizontal="center"/>
      <protection/>
    </xf>
    <xf numFmtId="39" fontId="39" fillId="33" borderId="27" xfId="0" applyNumberFormat="1" applyFont="1" applyFill="1" applyBorder="1" applyAlignment="1" applyProtection="1">
      <alignment horizontal="center"/>
      <protection/>
    </xf>
    <xf numFmtId="39" fontId="39" fillId="33" borderId="11" xfId="0" applyNumberFormat="1" applyFont="1" applyFill="1" applyBorder="1" applyAlignment="1" applyProtection="1">
      <alignment horizontal="center"/>
      <protection/>
    </xf>
    <xf numFmtId="39" fontId="76" fillId="33" borderId="11" xfId="0" applyNumberFormat="1" applyFont="1" applyFill="1" applyBorder="1" applyAlignment="1" applyProtection="1">
      <alignment horizontal="center"/>
      <protection/>
    </xf>
    <xf numFmtId="39" fontId="39" fillId="33" borderId="11" xfId="0" applyNumberFormat="1" applyFont="1" applyFill="1" applyBorder="1" applyAlignment="1" applyProtection="1">
      <alignment horizontal="center" vertical="center"/>
      <protection/>
    </xf>
    <xf numFmtId="39" fontId="39" fillId="33" borderId="0" xfId="0" applyNumberFormat="1" applyFont="1" applyFill="1" applyBorder="1" applyAlignment="1" applyProtection="1">
      <alignment horizontal="center"/>
      <protection/>
    </xf>
    <xf numFmtId="39" fontId="39" fillId="33" borderId="37" xfId="0" applyNumberFormat="1" applyFont="1" applyFill="1" applyBorder="1" applyAlignment="1" applyProtection="1">
      <alignment horizontal="center"/>
      <protection/>
    </xf>
    <xf numFmtId="39" fontId="76" fillId="33" borderId="11" xfId="0" applyNumberFormat="1" applyFont="1" applyFill="1" applyBorder="1" applyAlignment="1" applyProtection="1">
      <alignment horizontal="center" vertical="center"/>
      <protection/>
    </xf>
    <xf numFmtId="2" fontId="39" fillId="33" borderId="15" xfId="0" applyNumberFormat="1" applyFont="1" applyFill="1" applyBorder="1" applyAlignment="1">
      <alignment horizontal="center" vertical="center"/>
    </xf>
    <xf numFmtId="0" fontId="73" fillId="36" borderId="14" xfId="0" applyFont="1" applyFill="1" applyBorder="1" applyAlignment="1">
      <alignment horizontal="center"/>
    </xf>
    <xf numFmtId="7" fontId="12" fillId="33" borderId="12" xfId="0" applyNumberFormat="1" applyFont="1" applyFill="1" applyBorder="1" applyAlignment="1" applyProtection="1">
      <alignment horizontal="center"/>
      <protection/>
    </xf>
    <xf numFmtId="7" fontId="12" fillId="33" borderId="11" xfId="0" applyNumberFormat="1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10" fontId="12" fillId="33" borderId="0" xfId="0" applyNumberFormat="1" applyFont="1" applyFill="1" applyAlignment="1" applyProtection="1">
      <alignment horizontal="center"/>
      <protection/>
    </xf>
    <xf numFmtId="0" fontId="73" fillId="35" borderId="25" xfId="0" applyFont="1" applyFill="1" applyBorder="1" applyAlignment="1" applyProtection="1">
      <alignment horizontal="center"/>
      <protection/>
    </xf>
    <xf numFmtId="39" fontId="76" fillId="33" borderId="11" xfId="0" applyNumberFormat="1" applyFont="1" applyFill="1" applyBorder="1" applyAlignment="1">
      <alignment horizontal="center"/>
    </xf>
    <xf numFmtId="2" fontId="39" fillId="33" borderId="11" xfId="0" applyNumberFormat="1" applyFont="1" applyFill="1" applyBorder="1" applyAlignment="1" applyProtection="1">
      <alignment horizontal="center" vertical="center"/>
      <protection/>
    </xf>
    <xf numFmtId="39" fontId="39" fillId="33" borderId="22" xfId="0" applyNumberFormat="1" applyFont="1" applyFill="1" applyBorder="1" applyAlignment="1" applyProtection="1">
      <alignment horizontal="center"/>
      <protection/>
    </xf>
    <xf numFmtId="39" fontId="39" fillId="33" borderId="15" xfId="0" applyNumberFormat="1" applyFont="1" applyFill="1" applyBorder="1" applyAlignment="1" applyProtection="1">
      <alignment horizontal="center" vertical="center"/>
      <protection/>
    </xf>
    <xf numFmtId="0" fontId="39" fillId="33" borderId="31" xfId="0" applyFont="1" applyFill="1" applyBorder="1" applyAlignment="1" applyProtection="1">
      <alignment horizontal="center"/>
      <protection/>
    </xf>
    <xf numFmtId="196" fontId="43" fillId="33" borderId="13" xfId="0" applyNumberFormat="1" applyFont="1" applyFill="1" applyBorder="1" applyAlignment="1" applyProtection="1">
      <alignment horizontal="center"/>
      <protection/>
    </xf>
    <xf numFmtId="187" fontId="39" fillId="33" borderId="13" xfId="0" applyNumberFormat="1" applyFont="1" applyFill="1" applyBorder="1" applyAlignment="1" applyProtection="1">
      <alignment horizontal="center"/>
      <protection/>
    </xf>
    <xf numFmtId="39" fontId="39" fillId="33" borderId="13" xfId="0" applyNumberFormat="1" applyFont="1" applyFill="1" applyBorder="1" applyAlignment="1" applyProtection="1">
      <alignment horizontal="center"/>
      <protection/>
    </xf>
    <xf numFmtId="196" fontId="75" fillId="36" borderId="16" xfId="0" applyNumberFormat="1" applyFont="1" applyFill="1" applyBorder="1" applyAlignment="1" applyProtection="1">
      <alignment horizontal="center"/>
      <protection/>
    </xf>
    <xf numFmtId="187" fontId="40" fillId="33" borderId="0" xfId="0" applyNumberFormat="1" applyFont="1" applyFill="1" applyBorder="1" applyAlignment="1" applyProtection="1">
      <alignment horizontal="center"/>
      <protection/>
    </xf>
    <xf numFmtId="10" fontId="12" fillId="33" borderId="31" xfId="0" applyNumberFormat="1" applyFont="1" applyFill="1" applyBorder="1" applyAlignment="1" applyProtection="1">
      <alignment horizontal="center"/>
      <protection/>
    </xf>
    <xf numFmtId="10" fontId="12" fillId="33" borderId="32" xfId="0" applyNumberFormat="1" applyFont="1" applyFill="1" applyBorder="1" applyAlignment="1" applyProtection="1">
      <alignment horizontal="center"/>
      <protection/>
    </xf>
    <xf numFmtId="0" fontId="12" fillId="33" borderId="33" xfId="0" applyFont="1" applyFill="1" applyBorder="1" applyAlignment="1" applyProtection="1">
      <alignment horizontal="center"/>
      <protection/>
    </xf>
    <xf numFmtId="189" fontId="12" fillId="33" borderId="0" xfId="0" applyNumberFormat="1" applyFont="1" applyFill="1" applyAlignment="1" applyProtection="1">
      <alignment horizontal="center"/>
      <protection/>
    </xf>
    <xf numFmtId="4" fontId="39" fillId="33" borderId="0" xfId="0" applyNumberFormat="1" applyFont="1" applyFill="1" applyAlignment="1">
      <alignment horizontal="center"/>
    </xf>
    <xf numFmtId="4" fontId="37" fillId="35" borderId="0" xfId="0" applyNumberFormat="1" applyFont="1" applyFill="1" applyAlignment="1">
      <alignment horizontal="center" vertical="center"/>
    </xf>
    <xf numFmtId="4" fontId="39" fillId="33" borderId="27" xfId="0" applyNumberFormat="1" applyFont="1" applyFill="1" applyBorder="1" applyAlignment="1" applyProtection="1">
      <alignment horizontal="center"/>
      <protection/>
    </xf>
    <xf numFmtId="4" fontId="76" fillId="33" borderId="11" xfId="47" applyNumberFormat="1" applyFont="1" applyFill="1" applyBorder="1" applyAlignment="1" applyProtection="1">
      <alignment horizontal="center"/>
      <protection/>
    </xf>
    <xf numFmtId="4" fontId="39" fillId="33" borderId="11" xfId="47" applyNumberFormat="1" applyFont="1" applyFill="1" applyBorder="1" applyAlignment="1" applyProtection="1">
      <alignment horizontal="center"/>
      <protection/>
    </xf>
    <xf numFmtId="4" fontId="39" fillId="33" borderId="11" xfId="47" applyNumberFormat="1" applyFont="1" applyFill="1" applyBorder="1" applyAlignment="1" applyProtection="1">
      <alignment horizontal="center" vertical="center"/>
      <protection/>
    </xf>
    <xf numFmtId="4" fontId="39" fillId="33" borderId="0" xfId="47" applyNumberFormat="1" applyFont="1" applyFill="1" applyBorder="1" applyAlignment="1" applyProtection="1">
      <alignment horizontal="center"/>
      <protection/>
    </xf>
    <xf numFmtId="4" fontId="39" fillId="33" borderId="37" xfId="47" applyNumberFormat="1" applyFont="1" applyFill="1" applyBorder="1" applyAlignment="1" applyProtection="1">
      <alignment horizontal="center"/>
      <protection/>
    </xf>
    <xf numFmtId="4" fontId="39" fillId="33" borderId="27" xfId="47" applyNumberFormat="1" applyFont="1" applyFill="1" applyBorder="1" applyAlignment="1" applyProtection="1">
      <alignment horizontal="center"/>
      <protection/>
    </xf>
    <xf numFmtId="4" fontId="76" fillId="33" borderId="11" xfId="47" applyNumberFormat="1" applyFont="1" applyFill="1" applyBorder="1" applyAlignment="1" applyProtection="1">
      <alignment horizontal="center" vertical="center"/>
      <protection/>
    </xf>
    <xf numFmtId="4" fontId="39" fillId="33" borderId="35" xfId="47" applyNumberFormat="1" applyFont="1" applyFill="1" applyBorder="1" applyAlignment="1" applyProtection="1">
      <alignment horizontal="center"/>
      <protection/>
    </xf>
    <xf numFmtId="4" fontId="39" fillId="33" borderId="22" xfId="47" applyNumberFormat="1" applyFont="1" applyFill="1" applyBorder="1" applyAlignment="1" applyProtection="1">
      <alignment horizontal="center"/>
      <protection/>
    </xf>
    <xf numFmtId="4" fontId="39" fillId="33" borderId="15" xfId="47" applyNumberFormat="1" applyFont="1" applyFill="1" applyBorder="1" applyAlignment="1" applyProtection="1">
      <alignment horizontal="center" vertical="center"/>
      <protection/>
    </xf>
    <xf numFmtId="4" fontId="39" fillId="33" borderId="0" xfId="0" applyNumberFormat="1" applyFont="1" applyFill="1" applyAlignment="1" applyProtection="1">
      <alignment horizontal="center"/>
      <protection/>
    </xf>
    <xf numFmtId="4" fontId="73" fillId="33" borderId="0" xfId="0" applyNumberFormat="1" applyFont="1" applyFill="1" applyAlignment="1">
      <alignment horizontal="center"/>
    </xf>
    <xf numFmtId="4" fontId="39" fillId="33" borderId="0" xfId="0" applyNumberFormat="1" applyFont="1" applyFill="1" applyBorder="1" applyAlignment="1" applyProtection="1">
      <alignment horizontal="center"/>
      <protection/>
    </xf>
    <xf numFmtId="4" fontId="12" fillId="33" borderId="0" xfId="0" applyNumberFormat="1" applyFont="1" applyFill="1" applyAlignment="1">
      <alignment horizontal="center"/>
    </xf>
    <xf numFmtId="4" fontId="39" fillId="0" borderId="0" xfId="0" applyNumberFormat="1" applyFont="1" applyAlignment="1">
      <alignment horizontal="center"/>
    </xf>
    <xf numFmtId="0" fontId="76" fillId="33" borderId="10" xfId="0" applyFont="1" applyFill="1" applyBorder="1" applyAlignment="1" applyProtection="1">
      <alignment horizontal="left" wrapText="1"/>
      <protection/>
    </xf>
    <xf numFmtId="0" fontId="76" fillId="33" borderId="0" xfId="0" applyFont="1" applyFill="1" applyBorder="1" applyAlignment="1" applyProtection="1">
      <alignment horizontal="left" wrapText="1"/>
      <protection/>
    </xf>
    <xf numFmtId="0" fontId="76" fillId="33" borderId="22" xfId="0" applyFont="1" applyFill="1" applyBorder="1" applyAlignment="1" applyProtection="1">
      <alignment horizontal="left" wrapText="1"/>
      <protection/>
    </xf>
    <xf numFmtId="0" fontId="39" fillId="33" borderId="10" xfId="0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left" wrapText="1"/>
      <protection/>
    </xf>
    <xf numFmtId="0" fontId="39" fillId="33" borderId="22" xfId="0" applyFont="1" applyFill="1" applyBorder="1" applyAlignment="1" applyProtection="1">
      <alignment horizontal="left" wrapText="1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20" xfId="0" applyFont="1" applyFill="1" applyBorder="1" applyAlignment="1" applyProtection="1">
      <alignment horizontal="center"/>
      <protection/>
    </xf>
    <xf numFmtId="0" fontId="39" fillId="33" borderId="21" xfId="0" applyFont="1" applyFill="1" applyBorder="1" applyAlignment="1" applyProtection="1">
      <alignment horizontal="center"/>
      <protection/>
    </xf>
    <xf numFmtId="0" fontId="39" fillId="33" borderId="22" xfId="0" applyFont="1" applyFill="1" applyBorder="1" applyAlignment="1" applyProtection="1">
      <alignment horizontal="center"/>
      <protection/>
    </xf>
    <xf numFmtId="0" fontId="75" fillId="35" borderId="30" xfId="0" applyFont="1" applyFill="1" applyBorder="1" applyAlignment="1" applyProtection="1">
      <alignment horizontal="center"/>
      <protection/>
    </xf>
    <xf numFmtId="0" fontId="75" fillId="35" borderId="19" xfId="0" applyFont="1" applyFill="1" applyBorder="1" applyAlignment="1" applyProtection="1">
      <alignment horizontal="center"/>
      <protection/>
    </xf>
    <xf numFmtId="0" fontId="75" fillId="35" borderId="20" xfId="0" applyFont="1" applyFill="1" applyBorder="1" applyAlignment="1" applyProtection="1">
      <alignment horizontal="center"/>
      <protection/>
    </xf>
    <xf numFmtId="4" fontId="75" fillId="35" borderId="18" xfId="0" applyNumberFormat="1" applyFont="1" applyFill="1" applyBorder="1" applyAlignment="1">
      <alignment horizontal="center" vertical="justify"/>
    </xf>
    <xf numFmtId="4" fontId="75" fillId="35" borderId="21" xfId="0" applyNumberFormat="1" applyFont="1" applyFill="1" applyBorder="1" applyAlignment="1">
      <alignment horizontal="center" vertical="justify"/>
    </xf>
    <xf numFmtId="9" fontId="75" fillId="35" borderId="41" xfId="54" applyFont="1" applyFill="1" applyBorder="1" applyAlignment="1">
      <alignment horizontal="center" vertical="justify"/>
    </xf>
    <xf numFmtId="9" fontId="75" fillId="35" borderId="32" xfId="54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left" wrapText="1"/>
      <protection/>
    </xf>
    <xf numFmtId="0" fontId="37" fillId="33" borderId="0" xfId="0" applyFont="1" applyFill="1" applyAlignment="1">
      <alignment horizontal="center" vertical="center"/>
    </xf>
    <xf numFmtId="188" fontId="74" fillId="33" borderId="0" xfId="0" applyNumberFormat="1" applyFont="1" applyFill="1" applyAlignment="1" applyProtection="1">
      <alignment horizontal="left" wrapText="1"/>
      <protection/>
    </xf>
    <xf numFmtId="0" fontId="12" fillId="33" borderId="0" xfId="0" applyFont="1" applyFill="1" applyBorder="1" applyAlignment="1">
      <alignment horizontal="center"/>
    </xf>
    <xf numFmtId="0" fontId="39" fillId="33" borderId="17" xfId="0" applyFont="1" applyFill="1" applyBorder="1" applyAlignment="1" applyProtection="1">
      <alignment horizontal="left" wrapText="1"/>
      <protection/>
    </xf>
    <xf numFmtId="0" fontId="39" fillId="33" borderId="14" xfId="0" applyFont="1" applyFill="1" applyBorder="1" applyAlignment="1" applyProtection="1">
      <alignment horizontal="left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10" fillId="13" borderId="18" xfId="0" applyFont="1" applyFill="1" applyBorder="1" applyAlignment="1">
      <alignment horizontal="center" vertical="justify"/>
    </xf>
    <xf numFmtId="0" fontId="10" fillId="13" borderId="21" xfId="0" applyFont="1" applyFill="1" applyBorder="1" applyAlignment="1">
      <alignment horizontal="center" vertical="justify"/>
    </xf>
    <xf numFmtId="0" fontId="10" fillId="13" borderId="29" xfId="0" applyFont="1" applyFill="1" applyBorder="1" applyAlignment="1">
      <alignment horizontal="center" vertical="justify"/>
    </xf>
    <xf numFmtId="9" fontId="10" fillId="13" borderId="41" xfId="54" applyFont="1" applyFill="1" applyBorder="1" applyAlignment="1">
      <alignment horizontal="center" vertical="justify"/>
    </xf>
    <xf numFmtId="9" fontId="10" fillId="13" borderId="32" xfId="54" applyFont="1" applyFill="1" applyBorder="1" applyAlignment="1">
      <alignment horizontal="center" vertical="justify"/>
    </xf>
    <xf numFmtId="9" fontId="10" fillId="13" borderId="33" xfId="54" applyFont="1" applyFill="1" applyBorder="1" applyAlignment="1">
      <alignment horizontal="center" vertical="justify"/>
    </xf>
    <xf numFmtId="0" fontId="9" fillId="13" borderId="30" xfId="0" applyFont="1" applyFill="1" applyBorder="1" applyAlignment="1" applyProtection="1">
      <alignment horizontal="center"/>
      <protection/>
    </xf>
    <xf numFmtId="0" fontId="9" fillId="13" borderId="19" xfId="0" applyFont="1" applyFill="1" applyBorder="1" applyAlignment="1" applyProtection="1">
      <alignment horizontal="center"/>
      <protection/>
    </xf>
    <xf numFmtId="0" fontId="9" fillId="13" borderId="20" xfId="0" applyFont="1" applyFill="1" applyBorder="1" applyAlignment="1" applyProtection="1">
      <alignment horizontal="center"/>
      <protection/>
    </xf>
    <xf numFmtId="0" fontId="72" fillId="0" borderId="1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0</xdr:rowOff>
    </xdr:from>
    <xdr:to>
      <xdr:col>5</xdr:col>
      <xdr:colOff>552450</xdr:colOff>
      <xdr:row>4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22"/>
  <sheetViews>
    <sheetView tabSelected="1" workbookViewId="0" topLeftCell="A1">
      <selection activeCell="N7" sqref="N7"/>
    </sheetView>
  </sheetViews>
  <sheetFormatPr defaultColWidth="11.00390625" defaultRowHeight="12.75"/>
  <cols>
    <col min="1" max="1" width="16.140625" style="226" customWidth="1"/>
    <col min="2" max="2" width="12.8515625" style="226" customWidth="1"/>
    <col min="3" max="3" width="8.8515625" style="226" customWidth="1"/>
    <col min="4" max="4" width="7.57421875" style="313" customWidth="1"/>
    <col min="5" max="5" width="9.57421875" style="313" customWidth="1"/>
    <col min="6" max="6" width="10.421875" style="313" customWidth="1"/>
    <col min="7" max="7" width="10.140625" style="313" customWidth="1"/>
    <col min="8" max="8" width="11.421875" style="313" customWidth="1"/>
    <col min="9" max="9" width="11.421875" style="400" customWidth="1"/>
    <col min="10" max="10" width="12.57421875" style="314" customWidth="1"/>
    <col min="11" max="11" width="15.421875" style="225" customWidth="1"/>
    <col min="12" max="15" width="11.00390625" style="222" customWidth="1"/>
    <col min="16" max="16384" width="11.00390625" style="226" customWidth="1"/>
  </cols>
  <sheetData>
    <row r="1" spans="4:11" s="222" customFormat="1" ht="8.25" customHeight="1">
      <c r="D1" s="223"/>
      <c r="E1" s="223"/>
      <c r="F1" s="223"/>
      <c r="G1" s="223"/>
      <c r="H1" s="223"/>
      <c r="I1" s="383"/>
      <c r="J1" s="224"/>
      <c r="K1" s="225"/>
    </row>
    <row r="2" spans="4:11" s="222" customFormat="1" ht="12.75">
      <c r="D2" s="223"/>
      <c r="E2" s="223"/>
      <c r="F2" s="223"/>
      <c r="G2" s="223"/>
      <c r="H2" s="223"/>
      <c r="I2" s="383"/>
      <c r="J2" s="224"/>
      <c r="K2" s="225"/>
    </row>
    <row r="3" spans="4:11" s="222" customFormat="1" ht="12.75">
      <c r="D3" s="223"/>
      <c r="E3" s="223"/>
      <c r="F3" s="223"/>
      <c r="G3" s="223"/>
      <c r="H3" s="223"/>
      <c r="I3" s="383"/>
      <c r="J3" s="224"/>
      <c r="K3" s="225"/>
    </row>
    <row r="4" spans="4:11" s="222" customFormat="1" ht="6.75" customHeight="1">
      <c r="D4" s="223"/>
      <c r="E4" s="223"/>
      <c r="F4" s="223"/>
      <c r="G4" s="223"/>
      <c r="H4" s="223"/>
      <c r="I4" s="383"/>
      <c r="J4" s="224"/>
      <c r="K4" s="225"/>
    </row>
    <row r="5" spans="1:12" s="222" customFormat="1" ht="15" customHeight="1">
      <c r="A5" s="419" t="s">
        <v>189</v>
      </c>
      <c r="B5" s="419"/>
      <c r="C5" s="419"/>
      <c r="D5" s="419"/>
      <c r="E5" s="419"/>
      <c r="F5" s="419"/>
      <c r="G5" s="419"/>
      <c r="H5" s="419"/>
      <c r="I5" s="419"/>
      <c r="J5" s="419"/>
      <c r="K5" s="220"/>
      <c r="L5" s="220"/>
    </row>
    <row r="6" spans="1:12" ht="15" customHeight="1">
      <c r="A6" s="419" t="s">
        <v>190</v>
      </c>
      <c r="B6" s="419"/>
      <c r="C6" s="419"/>
      <c r="D6" s="419"/>
      <c r="E6" s="419"/>
      <c r="F6" s="419"/>
      <c r="G6" s="419"/>
      <c r="H6" s="419"/>
      <c r="I6" s="419"/>
      <c r="J6" s="419"/>
      <c r="K6" s="220"/>
      <c r="L6" s="220"/>
    </row>
    <row r="7" spans="1:12" ht="30.75" customHeight="1">
      <c r="A7" s="419" t="s">
        <v>191</v>
      </c>
      <c r="B7" s="419"/>
      <c r="C7" s="419"/>
      <c r="D7" s="419"/>
      <c r="E7" s="419"/>
      <c r="F7" s="419"/>
      <c r="G7" s="419"/>
      <c r="H7" s="419"/>
      <c r="I7" s="419"/>
      <c r="J7" s="419"/>
      <c r="K7" s="220"/>
      <c r="L7" s="220"/>
    </row>
    <row r="8" spans="1:12" ht="4.5" customHeight="1">
      <c r="A8" s="218"/>
      <c r="B8" s="218"/>
      <c r="C8" s="218"/>
      <c r="D8" s="218"/>
      <c r="E8" s="218"/>
      <c r="F8" s="218"/>
      <c r="G8" s="218"/>
      <c r="H8" s="218"/>
      <c r="I8" s="384"/>
      <c r="J8" s="218"/>
      <c r="K8" s="219"/>
      <c r="L8" s="219"/>
    </row>
    <row r="9" spans="1:10" ht="15">
      <c r="A9" s="227"/>
      <c r="B9" s="227"/>
      <c r="C9" s="227"/>
      <c r="D9" s="228"/>
      <c r="E9" s="330"/>
      <c r="F9" s="228" t="s">
        <v>3</v>
      </c>
      <c r="G9" s="330"/>
      <c r="H9" s="223" t="s">
        <v>72</v>
      </c>
      <c r="I9" s="383"/>
      <c r="J9" s="221" t="s">
        <v>4</v>
      </c>
    </row>
    <row r="10" spans="1:10" ht="12.75">
      <c r="A10" s="227"/>
      <c r="B10" s="227"/>
      <c r="C10" s="227"/>
      <c r="D10" s="228" t="s">
        <v>5</v>
      </c>
      <c r="E10" s="330"/>
      <c r="F10" s="228" t="s">
        <v>6</v>
      </c>
      <c r="G10" s="330"/>
      <c r="H10" s="223" t="s">
        <v>72</v>
      </c>
      <c r="I10" s="383"/>
      <c r="J10" s="229" t="s">
        <v>176</v>
      </c>
    </row>
    <row r="11" spans="1:10" ht="12.75">
      <c r="A11" s="230" t="s">
        <v>8</v>
      </c>
      <c r="B11" s="230" t="s">
        <v>9</v>
      </c>
      <c r="C11" s="228" t="s">
        <v>10</v>
      </c>
      <c r="D11" s="228" t="s">
        <v>10</v>
      </c>
      <c r="E11" s="330"/>
      <c r="F11" s="228" t="s">
        <v>11</v>
      </c>
      <c r="G11" s="330"/>
      <c r="H11" s="223" t="s">
        <v>72</v>
      </c>
      <c r="I11" s="383"/>
      <c r="J11" s="229" t="s">
        <v>69</v>
      </c>
    </row>
    <row r="12" spans="1:10" ht="14.25" customHeight="1">
      <c r="A12" s="420" t="s">
        <v>177</v>
      </c>
      <c r="B12" s="231">
        <f>(110+115)/2</f>
        <v>112.5</v>
      </c>
      <c r="C12" s="232" t="s">
        <v>67</v>
      </c>
      <c r="D12" s="231">
        <f>(H102/B12)</f>
        <v>228.12263696160002</v>
      </c>
      <c r="E12" s="330"/>
      <c r="F12" s="228" t="s">
        <v>13</v>
      </c>
      <c r="G12" s="330"/>
      <c r="H12" s="223" t="s">
        <v>72</v>
      </c>
      <c r="I12" s="383"/>
      <c r="J12" s="229" t="s">
        <v>14</v>
      </c>
    </row>
    <row r="13" spans="1:10" ht="12.75">
      <c r="A13" s="420"/>
      <c r="B13" s="233"/>
      <c r="C13" s="234"/>
      <c r="D13" s="343"/>
      <c r="E13" s="330"/>
      <c r="F13" s="228" t="s">
        <v>15</v>
      </c>
      <c r="G13" s="330"/>
      <c r="H13" s="223" t="s">
        <v>72</v>
      </c>
      <c r="I13" s="383"/>
      <c r="J13" s="229" t="s">
        <v>16</v>
      </c>
    </row>
    <row r="14" spans="1:10" ht="12.75">
      <c r="A14" s="230"/>
      <c r="B14" s="233"/>
      <c r="C14" s="235"/>
      <c r="D14" s="344"/>
      <c r="E14" s="331"/>
      <c r="F14" s="228" t="s">
        <v>17</v>
      </c>
      <c r="G14" s="330"/>
      <c r="H14" s="223" t="s">
        <v>72</v>
      </c>
      <c r="I14" s="383"/>
      <c r="J14" s="229" t="s">
        <v>18</v>
      </c>
    </row>
    <row r="15" spans="1:10" ht="12.75">
      <c r="A15" s="227"/>
      <c r="B15" s="233"/>
      <c r="C15" s="227"/>
      <c r="D15" s="330"/>
      <c r="E15" s="330"/>
      <c r="F15" s="228" t="s">
        <v>19</v>
      </c>
      <c r="G15" s="330"/>
      <c r="H15" s="223" t="s">
        <v>72</v>
      </c>
      <c r="I15" s="383"/>
      <c r="J15" s="229" t="s">
        <v>20</v>
      </c>
    </row>
    <row r="16" spans="1:10" ht="15.75">
      <c r="A16" s="230" t="s">
        <v>21</v>
      </c>
      <c r="B16" s="236" t="s">
        <v>22</v>
      </c>
      <c r="C16" s="237" t="s">
        <v>73</v>
      </c>
      <c r="D16" s="345" t="s">
        <v>187</v>
      </c>
      <c r="E16" s="330"/>
      <c r="F16" s="228" t="s">
        <v>23</v>
      </c>
      <c r="G16" s="330"/>
      <c r="H16" s="223" t="s">
        <v>72</v>
      </c>
      <c r="I16" s="383"/>
      <c r="J16" s="229" t="s">
        <v>24</v>
      </c>
    </row>
    <row r="17" spans="1:15" s="239" customFormat="1" ht="13.5" thickBot="1">
      <c r="A17" s="230" t="s">
        <v>25</v>
      </c>
      <c r="B17" s="238">
        <v>600</v>
      </c>
      <c r="C17" s="227"/>
      <c r="D17" s="330"/>
      <c r="E17" s="330"/>
      <c r="F17" s="228" t="s">
        <v>26</v>
      </c>
      <c r="G17" s="330"/>
      <c r="H17" s="223" t="s">
        <v>72</v>
      </c>
      <c r="I17" s="383"/>
      <c r="J17" s="229" t="s">
        <v>201</v>
      </c>
      <c r="K17" s="225"/>
      <c r="L17" s="222"/>
      <c r="M17" s="222"/>
      <c r="N17" s="225"/>
      <c r="O17" s="225"/>
    </row>
    <row r="18" spans="1:10" ht="17.25" customHeight="1">
      <c r="A18" s="411" t="s">
        <v>28</v>
      </c>
      <c r="B18" s="412"/>
      <c r="C18" s="412"/>
      <c r="D18" s="412"/>
      <c r="E18" s="412"/>
      <c r="F18" s="412"/>
      <c r="G18" s="412"/>
      <c r="H18" s="413"/>
      <c r="I18" s="414" t="s">
        <v>70</v>
      </c>
      <c r="J18" s="416" t="s">
        <v>71</v>
      </c>
    </row>
    <row r="19" spans="1:10" ht="4.5" customHeight="1">
      <c r="A19" s="240"/>
      <c r="B19" s="241"/>
      <c r="C19" s="241"/>
      <c r="D19" s="242"/>
      <c r="E19" s="242"/>
      <c r="F19" s="242"/>
      <c r="G19" s="242"/>
      <c r="H19" s="368"/>
      <c r="I19" s="415"/>
      <c r="J19" s="417"/>
    </row>
    <row r="20" spans="1:10" ht="9.75" customHeight="1">
      <c r="A20" s="243"/>
      <c r="B20" s="244"/>
      <c r="C20" s="245"/>
      <c r="D20" s="315"/>
      <c r="E20" s="316"/>
      <c r="F20" s="316"/>
      <c r="G20" s="317" t="s">
        <v>29</v>
      </c>
      <c r="H20" s="318" t="s">
        <v>30</v>
      </c>
      <c r="I20" s="415"/>
      <c r="J20" s="417"/>
    </row>
    <row r="21" spans="1:10" ht="10.5" customHeight="1">
      <c r="A21" s="246" t="s">
        <v>31</v>
      </c>
      <c r="B21" s="247"/>
      <c r="C21" s="248"/>
      <c r="D21" s="319" t="s">
        <v>32</v>
      </c>
      <c r="E21" s="317" t="s">
        <v>192</v>
      </c>
      <c r="F21" s="317" t="s">
        <v>34</v>
      </c>
      <c r="G21" s="317" t="s">
        <v>35</v>
      </c>
      <c r="H21" s="317" t="s">
        <v>36</v>
      </c>
      <c r="I21" s="415"/>
      <c r="J21" s="417"/>
    </row>
    <row r="22" spans="1:10" ht="9.75" customHeight="1">
      <c r="A22" s="240"/>
      <c r="B22" s="241"/>
      <c r="C22" s="249"/>
      <c r="D22" s="319"/>
      <c r="E22" s="317"/>
      <c r="F22" s="317"/>
      <c r="G22" s="317"/>
      <c r="H22" s="317"/>
      <c r="I22" s="415"/>
      <c r="J22" s="417"/>
    </row>
    <row r="23" spans="1:11" ht="14.25" customHeight="1">
      <c r="A23" s="250" t="s">
        <v>37</v>
      </c>
      <c r="B23" s="251"/>
      <c r="C23" s="251"/>
      <c r="D23" s="252"/>
      <c r="E23" s="332"/>
      <c r="F23" s="252"/>
      <c r="G23" s="355"/>
      <c r="H23" s="355"/>
      <c r="I23" s="385"/>
      <c r="J23" s="253"/>
      <c r="K23" s="222"/>
    </row>
    <row r="24" spans="1:11" ht="12.75">
      <c r="A24" s="254" t="s">
        <v>89</v>
      </c>
      <c r="B24" s="255"/>
      <c r="C24" s="256"/>
      <c r="D24" s="346"/>
      <c r="E24" s="333">
        <v>140</v>
      </c>
      <c r="F24" s="257" t="s">
        <v>90</v>
      </c>
      <c r="G24" s="356">
        <v>30</v>
      </c>
      <c r="H24" s="357">
        <f aca="true" t="shared" si="0" ref="H24:H31">IF(E24*G24,+E24*G24,"        ")</f>
        <v>4200</v>
      </c>
      <c r="I24" s="386">
        <f aca="true" t="shared" si="1" ref="I24:I36">E24/B$12</f>
        <v>1.2444444444444445</v>
      </c>
      <c r="J24" s="258">
        <f aca="true" t="shared" si="2" ref="J24:J36">H24/H$102</f>
        <v>0.16365466325736744</v>
      </c>
      <c r="K24" s="259"/>
    </row>
    <row r="25" spans="1:11" ht="12.75">
      <c r="A25" s="260" t="s">
        <v>91</v>
      </c>
      <c r="B25" s="261"/>
      <c r="C25" s="261"/>
      <c r="D25" s="279"/>
      <c r="E25" s="334">
        <v>0.7</v>
      </c>
      <c r="F25" s="262" t="s">
        <v>38</v>
      </c>
      <c r="G25" s="357">
        <v>2416.16</v>
      </c>
      <c r="H25" s="357">
        <f t="shared" si="0"/>
        <v>1691.312</v>
      </c>
      <c r="I25" s="386">
        <f t="shared" si="1"/>
        <v>0.006222222222222222</v>
      </c>
      <c r="J25" s="258">
        <f t="shared" si="2"/>
        <v>0.06590264186265347</v>
      </c>
      <c r="K25" s="222"/>
    </row>
    <row r="26" spans="1:11" ht="12.75">
      <c r="A26" s="260" t="s">
        <v>94</v>
      </c>
      <c r="B26" s="261"/>
      <c r="C26" s="261"/>
      <c r="D26" s="279"/>
      <c r="E26" s="334">
        <f>+(17.5+26.25)/100</f>
        <v>0.4375</v>
      </c>
      <c r="F26" s="262" t="s">
        <v>38</v>
      </c>
      <c r="G26" s="357">
        <v>1474.81</v>
      </c>
      <c r="H26" s="357">
        <f t="shared" si="0"/>
        <v>645.229375</v>
      </c>
      <c r="I26" s="386">
        <f t="shared" si="1"/>
        <v>0.0038888888888888888</v>
      </c>
      <c r="J26" s="258">
        <f t="shared" si="2"/>
        <v>0.02514161811652063</v>
      </c>
      <c r="K26" s="222"/>
    </row>
    <row r="27" spans="1:11" ht="12.75">
      <c r="A27" s="254" t="s">
        <v>178</v>
      </c>
      <c r="B27" s="255"/>
      <c r="C27" s="255"/>
      <c r="D27" s="267"/>
      <c r="E27" s="333">
        <f>163.33/100</f>
        <v>1.6333000000000002</v>
      </c>
      <c r="F27" s="257" t="s">
        <v>38</v>
      </c>
      <c r="G27" s="356">
        <v>2241</v>
      </c>
      <c r="H27" s="356">
        <f t="shared" si="0"/>
        <v>3660.2253000000005</v>
      </c>
      <c r="I27" s="386">
        <f t="shared" si="1"/>
        <v>0.014518222222222224</v>
      </c>
      <c r="J27" s="258">
        <f t="shared" si="2"/>
        <v>0.14262212831371351</v>
      </c>
      <c r="K27" s="222"/>
    </row>
    <row r="28" spans="1:11" ht="12.75">
      <c r="A28" s="254" t="s">
        <v>135</v>
      </c>
      <c r="B28" s="255"/>
      <c r="C28" s="255"/>
      <c r="D28" s="267"/>
      <c r="E28" s="333">
        <v>0.025</v>
      </c>
      <c r="F28" s="257" t="s">
        <v>39</v>
      </c>
      <c r="G28" s="356">
        <v>3400</v>
      </c>
      <c r="H28" s="356">
        <f t="shared" si="0"/>
        <v>85</v>
      </c>
      <c r="I28" s="386">
        <f t="shared" si="1"/>
        <v>0.00022222222222222223</v>
      </c>
      <c r="J28" s="258">
        <f t="shared" si="2"/>
        <v>0.0033120586611610076</v>
      </c>
      <c r="K28" s="222"/>
    </row>
    <row r="29" spans="1:11" ht="12.75">
      <c r="A29" s="254" t="s">
        <v>137</v>
      </c>
      <c r="B29" s="255"/>
      <c r="C29" s="255"/>
      <c r="D29" s="347"/>
      <c r="E29" s="333">
        <v>0.3125</v>
      </c>
      <c r="F29" s="257" t="s">
        <v>39</v>
      </c>
      <c r="G29" s="356">
        <v>290</v>
      </c>
      <c r="H29" s="356">
        <f t="shared" si="0"/>
        <v>90.625</v>
      </c>
      <c r="I29" s="386">
        <f t="shared" si="1"/>
        <v>0.002777777777777778</v>
      </c>
      <c r="J29" s="258">
        <f t="shared" si="2"/>
        <v>0.003531239013737839</v>
      </c>
      <c r="K29" s="263"/>
    </row>
    <row r="30" spans="1:11" ht="12.75">
      <c r="A30" s="254" t="s">
        <v>180</v>
      </c>
      <c r="B30" s="255"/>
      <c r="C30" s="255"/>
      <c r="D30" s="347"/>
      <c r="E30" s="333">
        <v>0.0625</v>
      </c>
      <c r="F30" s="257" t="s">
        <v>39</v>
      </c>
      <c r="G30" s="356">
        <v>475</v>
      </c>
      <c r="H30" s="356">
        <f t="shared" si="0"/>
        <v>29.6875</v>
      </c>
      <c r="I30" s="386">
        <f t="shared" si="1"/>
        <v>0.0005555555555555556</v>
      </c>
      <c r="J30" s="258">
        <f t="shared" si="2"/>
        <v>0.001156785194155499</v>
      </c>
      <c r="K30" s="264"/>
    </row>
    <row r="31" spans="1:11" ht="12.75">
      <c r="A31" s="254" t="s">
        <v>181</v>
      </c>
      <c r="B31" s="255"/>
      <c r="C31" s="255"/>
      <c r="D31" s="347"/>
      <c r="E31" s="333">
        <v>0.3125</v>
      </c>
      <c r="F31" s="257" t="s">
        <v>39</v>
      </c>
      <c r="G31" s="356">
        <v>169.5</v>
      </c>
      <c r="H31" s="356">
        <f t="shared" si="0"/>
        <v>52.96875</v>
      </c>
      <c r="I31" s="386">
        <f t="shared" si="1"/>
        <v>0.002777777777777778</v>
      </c>
      <c r="J31" s="258">
        <f t="shared" si="2"/>
        <v>0.0020639483200984954</v>
      </c>
      <c r="K31" s="264"/>
    </row>
    <row r="32" spans="1:10" ht="12.75">
      <c r="A32" s="254" t="s">
        <v>182</v>
      </c>
      <c r="B32" s="255"/>
      <c r="C32" s="255"/>
      <c r="D32" s="267"/>
      <c r="E32" s="333">
        <v>1</v>
      </c>
      <c r="F32" s="257" t="s">
        <v>40</v>
      </c>
      <c r="G32" s="356">
        <v>60</v>
      </c>
      <c r="H32" s="356">
        <f>IF(E32*G32,+E32*G32,"        ")</f>
        <v>60</v>
      </c>
      <c r="I32" s="387">
        <f t="shared" si="1"/>
        <v>0.008888888888888889</v>
      </c>
      <c r="J32" s="258">
        <f t="shared" si="2"/>
        <v>0.0023379237608195345</v>
      </c>
    </row>
    <row r="33" spans="1:10" ht="12.75">
      <c r="A33" s="254" t="s">
        <v>183</v>
      </c>
      <c r="B33" s="255"/>
      <c r="C33" s="255"/>
      <c r="D33" s="267"/>
      <c r="E33" s="333">
        <v>1</v>
      </c>
      <c r="F33" s="257" t="s">
        <v>40</v>
      </c>
      <c r="G33" s="356">
        <v>600</v>
      </c>
      <c r="H33" s="356">
        <f>IF(E33*G33,+E33*G33,"        ")</f>
        <v>600</v>
      </c>
      <c r="I33" s="387">
        <f t="shared" si="1"/>
        <v>0.008888888888888889</v>
      </c>
      <c r="J33" s="258">
        <f t="shared" si="2"/>
        <v>0.02337923760819535</v>
      </c>
    </row>
    <row r="34" spans="1:10" ht="12.75" customHeight="1">
      <c r="A34" s="254" t="s">
        <v>184</v>
      </c>
      <c r="B34" s="255"/>
      <c r="C34" s="255"/>
      <c r="D34" s="267"/>
      <c r="E34" s="333">
        <v>1</v>
      </c>
      <c r="F34" s="257" t="s">
        <v>40</v>
      </c>
      <c r="G34" s="356">
        <v>1900</v>
      </c>
      <c r="H34" s="356">
        <f>IF(E34*G34,+E34*G34,"        ")</f>
        <v>1900</v>
      </c>
      <c r="I34" s="387">
        <f t="shared" si="1"/>
        <v>0.008888888888888889</v>
      </c>
      <c r="J34" s="265">
        <f t="shared" si="2"/>
        <v>0.07403425242595194</v>
      </c>
    </row>
    <row r="35" spans="1:11" ht="12.75">
      <c r="A35" s="254" t="s">
        <v>185</v>
      </c>
      <c r="B35" s="255"/>
      <c r="C35" s="255"/>
      <c r="D35" s="267"/>
      <c r="E35" s="333">
        <v>3</v>
      </c>
      <c r="F35" s="257" t="s">
        <v>108</v>
      </c>
      <c r="G35" s="356">
        <v>184.02000000000004</v>
      </c>
      <c r="H35" s="356">
        <f>IF(E35*G35,+E35*G35,"        ")</f>
        <v>552.0600000000002</v>
      </c>
      <c r="I35" s="387">
        <f t="shared" si="1"/>
        <v>0.02666666666666667</v>
      </c>
      <c r="J35" s="258">
        <f t="shared" si="2"/>
        <v>0.021511236523300545</v>
      </c>
      <c r="K35" s="264"/>
    </row>
    <row r="36" spans="1:10" ht="12.75">
      <c r="A36" s="254" t="s">
        <v>186</v>
      </c>
      <c r="B36" s="255"/>
      <c r="C36" s="255"/>
      <c r="D36" s="267"/>
      <c r="E36" s="333">
        <v>1</v>
      </c>
      <c r="F36" s="257" t="s">
        <v>40</v>
      </c>
      <c r="G36" s="356">
        <f>+(80.49/12)*12</f>
        <v>80.49</v>
      </c>
      <c r="H36" s="357">
        <f>IF(E36*G36,+E36*G36,"        ")</f>
        <v>80.49</v>
      </c>
      <c r="I36" s="386">
        <f t="shared" si="1"/>
        <v>0.008888888888888889</v>
      </c>
      <c r="J36" s="258">
        <f t="shared" si="2"/>
        <v>0.0031363247251394058</v>
      </c>
    </row>
    <row r="37" spans="1:11" ht="4.5" customHeight="1">
      <c r="A37" s="266"/>
      <c r="B37" s="255"/>
      <c r="C37" s="255"/>
      <c r="D37" s="267"/>
      <c r="E37" s="333"/>
      <c r="F37" s="267"/>
      <c r="G37" s="356"/>
      <c r="H37" s="356"/>
      <c r="I37" s="387"/>
      <c r="J37" s="265"/>
      <c r="K37" s="264"/>
    </row>
    <row r="38" spans="1:11" ht="20.25" customHeight="1">
      <c r="A38" s="268" t="s">
        <v>41</v>
      </c>
      <c r="B38" s="255"/>
      <c r="C38" s="255"/>
      <c r="D38" s="267"/>
      <c r="E38" s="333"/>
      <c r="F38" s="267"/>
      <c r="G38" s="356"/>
      <c r="H38" s="356"/>
      <c r="I38" s="387"/>
      <c r="J38" s="265"/>
      <c r="K38" s="269"/>
    </row>
    <row r="39" spans="1:11" ht="16.5" customHeight="1">
      <c r="A39" s="254" t="s">
        <v>92</v>
      </c>
      <c r="B39" s="255"/>
      <c r="C39" s="255"/>
      <c r="D39" s="267"/>
      <c r="E39" s="333">
        <v>1</v>
      </c>
      <c r="F39" s="257" t="s">
        <v>40</v>
      </c>
      <c r="G39" s="356">
        <v>300</v>
      </c>
      <c r="H39" s="356">
        <f aca="true" t="shared" si="3" ref="H39:H44">IF(E39*G39,+E39*G39,"        ")</f>
        <v>300</v>
      </c>
      <c r="I39" s="387">
        <f aca="true" t="shared" si="4" ref="I39:I45">E39/B$12</f>
        <v>0.008888888888888889</v>
      </c>
      <c r="J39" s="265">
        <f aca="true" t="shared" si="5" ref="J39:J45">H39/H$102</f>
        <v>0.011689618804097674</v>
      </c>
      <c r="K39" s="269"/>
    </row>
    <row r="40" spans="1:11" ht="12.75">
      <c r="A40" s="254" t="s">
        <v>93</v>
      </c>
      <c r="B40" s="255"/>
      <c r="C40" s="255"/>
      <c r="D40" s="267"/>
      <c r="E40" s="333">
        <v>1</v>
      </c>
      <c r="F40" s="257" t="s">
        <v>40</v>
      </c>
      <c r="G40" s="356">
        <v>250</v>
      </c>
      <c r="H40" s="356">
        <f t="shared" si="3"/>
        <v>250</v>
      </c>
      <c r="I40" s="387">
        <f t="shared" si="4"/>
        <v>0.008888888888888889</v>
      </c>
      <c r="J40" s="265">
        <f t="shared" si="5"/>
        <v>0.009741349003414728</v>
      </c>
      <c r="K40" s="264"/>
    </row>
    <row r="41" spans="1:11" ht="12.75">
      <c r="A41" s="254" t="s">
        <v>98</v>
      </c>
      <c r="B41" s="255"/>
      <c r="C41" s="255"/>
      <c r="D41" s="267"/>
      <c r="E41" s="333">
        <v>1</v>
      </c>
      <c r="F41" s="257" t="s">
        <v>40</v>
      </c>
      <c r="G41" s="356">
        <v>400</v>
      </c>
      <c r="H41" s="356">
        <f t="shared" si="3"/>
        <v>400</v>
      </c>
      <c r="I41" s="387">
        <f t="shared" si="4"/>
        <v>0.008888888888888889</v>
      </c>
      <c r="J41" s="265">
        <f t="shared" si="5"/>
        <v>0.015586158405463565</v>
      </c>
      <c r="K41" s="264">
        <v>500</v>
      </c>
    </row>
    <row r="42" spans="1:11" ht="12.75">
      <c r="A42" s="254" t="s">
        <v>99</v>
      </c>
      <c r="B42" s="255"/>
      <c r="C42" s="256"/>
      <c r="D42" s="267"/>
      <c r="E42" s="333">
        <v>1</v>
      </c>
      <c r="F42" s="257" t="s">
        <v>40</v>
      </c>
      <c r="G42" s="356">
        <v>250</v>
      </c>
      <c r="H42" s="356">
        <f t="shared" si="3"/>
        <v>250</v>
      </c>
      <c r="I42" s="387">
        <f t="shared" si="4"/>
        <v>0.008888888888888889</v>
      </c>
      <c r="J42" s="265">
        <f t="shared" si="5"/>
        <v>0.009741349003414728</v>
      </c>
      <c r="K42" s="264"/>
    </row>
    <row r="43" spans="1:10" ht="12.75">
      <c r="A43" s="254" t="s">
        <v>100</v>
      </c>
      <c r="B43" s="255"/>
      <c r="C43" s="255"/>
      <c r="D43" s="267"/>
      <c r="E43" s="333">
        <v>1</v>
      </c>
      <c r="F43" s="257" t="s">
        <v>40</v>
      </c>
      <c r="G43" s="356">
        <v>600</v>
      </c>
      <c r="H43" s="356">
        <f t="shared" si="3"/>
        <v>600</v>
      </c>
      <c r="I43" s="387">
        <f t="shared" si="4"/>
        <v>0.008888888888888889</v>
      </c>
      <c r="J43" s="265">
        <f t="shared" si="5"/>
        <v>0.02337923760819535</v>
      </c>
    </row>
    <row r="44" spans="1:11" ht="12.75">
      <c r="A44" s="254" t="s">
        <v>138</v>
      </c>
      <c r="B44" s="255"/>
      <c r="C44" s="255"/>
      <c r="D44" s="267"/>
      <c r="E44" s="333">
        <v>1</v>
      </c>
      <c r="F44" s="257" t="s">
        <v>40</v>
      </c>
      <c r="G44" s="356">
        <v>250</v>
      </c>
      <c r="H44" s="356">
        <f t="shared" si="3"/>
        <v>250</v>
      </c>
      <c r="I44" s="387">
        <f t="shared" si="4"/>
        <v>0.008888888888888889</v>
      </c>
      <c r="J44" s="265">
        <f t="shared" si="5"/>
        <v>0.009741349003414728</v>
      </c>
      <c r="K44" s="264"/>
    </row>
    <row r="45" spans="1:10" ht="12.75">
      <c r="A45" s="254" t="s">
        <v>139</v>
      </c>
      <c r="B45" s="255"/>
      <c r="C45" s="256"/>
      <c r="D45" s="267"/>
      <c r="E45" s="333">
        <v>0.13</v>
      </c>
      <c r="F45" s="257" t="s">
        <v>44</v>
      </c>
      <c r="G45" s="356">
        <v>200</v>
      </c>
      <c r="H45" s="356">
        <f>IF(E45*G45,+E45*G45,"        ")</f>
        <v>26</v>
      </c>
      <c r="I45" s="387">
        <f t="shared" si="4"/>
        <v>0.0011555555555555555</v>
      </c>
      <c r="J45" s="265">
        <f t="shared" si="5"/>
        <v>0.0010131002963551317</v>
      </c>
    </row>
    <row r="46" spans="1:10" ht="7.5" customHeight="1">
      <c r="A46" s="254"/>
      <c r="B46" s="255"/>
      <c r="C46" s="256"/>
      <c r="D46" s="267"/>
      <c r="E46" s="333"/>
      <c r="F46" s="257"/>
      <c r="G46" s="356"/>
      <c r="H46" s="356"/>
      <c r="I46" s="387"/>
      <c r="J46" s="265"/>
    </row>
    <row r="47" spans="1:10" ht="22.5" customHeight="1">
      <c r="A47" s="404" t="s">
        <v>193</v>
      </c>
      <c r="B47" s="405"/>
      <c r="C47" s="406"/>
      <c r="D47" s="257" t="s">
        <v>46</v>
      </c>
      <c r="E47" s="335">
        <v>0.9717</v>
      </c>
      <c r="F47" s="320" t="s">
        <v>44</v>
      </c>
      <c r="G47" s="358">
        <v>600</v>
      </c>
      <c r="H47" s="358">
        <v>583.02</v>
      </c>
      <c r="I47" s="388">
        <v>0.008637333333333334</v>
      </c>
      <c r="J47" s="321">
        <f aca="true" t="shared" si="6" ref="J47:J54">H47/H$102</f>
        <v>0.022717605183883417</v>
      </c>
    </row>
    <row r="48" spans="1:10" ht="12.75">
      <c r="A48" s="254" t="s">
        <v>194</v>
      </c>
      <c r="B48" s="255"/>
      <c r="C48" s="255"/>
      <c r="D48" s="267"/>
      <c r="E48" s="336">
        <v>0.125</v>
      </c>
      <c r="F48" s="267" t="s">
        <v>44</v>
      </c>
      <c r="G48" s="359">
        <v>600</v>
      </c>
      <c r="H48" s="356">
        <v>75</v>
      </c>
      <c r="I48" s="387">
        <v>0.0011111111111111111</v>
      </c>
      <c r="J48" s="321">
        <f t="shared" si="6"/>
        <v>0.0029224047010244186</v>
      </c>
    </row>
    <row r="49" spans="1:10" ht="12.75">
      <c r="A49" s="254" t="s">
        <v>140</v>
      </c>
      <c r="B49" s="255"/>
      <c r="C49" s="255"/>
      <c r="D49" s="267"/>
      <c r="E49" s="336">
        <f>0.1*2</f>
        <v>0.2</v>
      </c>
      <c r="F49" s="257" t="s">
        <v>44</v>
      </c>
      <c r="G49" s="359">
        <f aca="true" t="shared" si="7" ref="G49:G54">+$B$17</f>
        <v>600</v>
      </c>
      <c r="H49" s="356">
        <f aca="true" t="shared" si="8" ref="H49:H54">IF(E49*G49,+E49*G49,"        ")</f>
        <v>120</v>
      </c>
      <c r="I49" s="389">
        <f aca="true" t="shared" si="9" ref="I49:I54">E49/B$12</f>
        <v>0.0017777777777777779</v>
      </c>
      <c r="J49" s="270">
        <f t="shared" si="6"/>
        <v>0.004675847521639069</v>
      </c>
    </row>
    <row r="50" spans="1:15" s="239" customFormat="1" ht="12.75">
      <c r="A50" s="254" t="s">
        <v>141</v>
      </c>
      <c r="B50" s="255"/>
      <c r="C50" s="255"/>
      <c r="D50" s="257" t="s">
        <v>47</v>
      </c>
      <c r="E50" s="337">
        <v>0.0267</v>
      </c>
      <c r="F50" s="257" t="s">
        <v>44</v>
      </c>
      <c r="G50" s="359">
        <f t="shared" si="7"/>
        <v>600</v>
      </c>
      <c r="H50" s="356">
        <f t="shared" si="8"/>
        <v>16.02</v>
      </c>
      <c r="I50" s="387">
        <f t="shared" si="9"/>
        <v>0.00023733333333333335</v>
      </c>
      <c r="J50" s="265">
        <f t="shared" si="6"/>
        <v>0.0006242256441388158</v>
      </c>
      <c r="K50" s="225"/>
      <c r="L50" s="225"/>
      <c r="M50" s="225"/>
      <c r="N50" s="225"/>
      <c r="O50" s="225"/>
    </row>
    <row r="51" spans="1:15" s="239" customFormat="1" ht="12.75">
      <c r="A51" s="254" t="s">
        <v>142</v>
      </c>
      <c r="B51" s="255"/>
      <c r="C51" s="255"/>
      <c r="D51" s="267"/>
      <c r="E51" s="337">
        <f>0.1*2</f>
        <v>0.2</v>
      </c>
      <c r="F51" s="257" t="s">
        <v>44</v>
      </c>
      <c r="G51" s="356">
        <f t="shared" si="7"/>
        <v>600</v>
      </c>
      <c r="H51" s="356">
        <f t="shared" si="8"/>
        <v>120</v>
      </c>
      <c r="I51" s="387">
        <f t="shared" si="9"/>
        <v>0.0017777777777777779</v>
      </c>
      <c r="J51" s="265">
        <f t="shared" si="6"/>
        <v>0.004675847521639069</v>
      </c>
      <c r="K51" s="225"/>
      <c r="L51" s="225"/>
      <c r="M51" s="225"/>
      <c r="N51" s="225"/>
      <c r="O51" s="225"/>
    </row>
    <row r="52" spans="1:10" ht="12.75">
      <c r="A52" s="254" t="s">
        <v>195</v>
      </c>
      <c r="B52" s="255"/>
      <c r="C52" s="255"/>
      <c r="D52" s="267"/>
      <c r="E52" s="336">
        <f>0.125</f>
        <v>0.125</v>
      </c>
      <c r="F52" s="257" t="s">
        <v>44</v>
      </c>
      <c r="G52" s="359">
        <f t="shared" si="7"/>
        <v>600</v>
      </c>
      <c r="H52" s="356">
        <f t="shared" si="8"/>
        <v>75</v>
      </c>
      <c r="I52" s="387">
        <f t="shared" si="9"/>
        <v>0.0011111111111111111</v>
      </c>
      <c r="J52" s="265">
        <f t="shared" si="6"/>
        <v>0.0029224047010244186</v>
      </c>
    </row>
    <row r="53" spans="1:15" s="239" customFormat="1" ht="12.75">
      <c r="A53" s="254" t="s">
        <v>143</v>
      </c>
      <c r="B53" s="255"/>
      <c r="C53" s="255"/>
      <c r="D53" s="267"/>
      <c r="E53" s="337">
        <v>0.1667</v>
      </c>
      <c r="F53" s="257" t="s">
        <v>44</v>
      </c>
      <c r="G53" s="356">
        <f t="shared" si="7"/>
        <v>600</v>
      </c>
      <c r="H53" s="356">
        <f t="shared" si="8"/>
        <v>100.02</v>
      </c>
      <c r="I53" s="387">
        <f t="shared" si="9"/>
        <v>0.0014817777777777776</v>
      </c>
      <c r="J53" s="265">
        <f t="shared" si="6"/>
        <v>0.0038973189092861645</v>
      </c>
      <c r="K53" s="225"/>
      <c r="L53" s="225"/>
      <c r="M53" s="225"/>
      <c r="N53" s="225"/>
      <c r="O53" s="225"/>
    </row>
    <row r="54" spans="1:15" s="239" customFormat="1" ht="12.75">
      <c r="A54" s="266" t="s">
        <v>144</v>
      </c>
      <c r="B54" s="255"/>
      <c r="C54" s="255"/>
      <c r="D54" s="267"/>
      <c r="E54" s="337">
        <v>0.5</v>
      </c>
      <c r="F54" s="267" t="s">
        <v>44</v>
      </c>
      <c r="G54" s="359">
        <f t="shared" si="7"/>
        <v>600</v>
      </c>
      <c r="H54" s="356">
        <f t="shared" si="8"/>
        <v>300</v>
      </c>
      <c r="I54" s="387">
        <f t="shared" si="9"/>
        <v>0.0044444444444444444</v>
      </c>
      <c r="J54" s="265">
        <f t="shared" si="6"/>
        <v>0.011689618804097674</v>
      </c>
      <c r="K54" s="225"/>
      <c r="L54" s="225"/>
      <c r="M54" s="225"/>
      <c r="N54" s="225"/>
      <c r="O54" s="225"/>
    </row>
    <row r="55" spans="1:15" s="239" customFormat="1" ht="3.75" customHeight="1">
      <c r="A55" s="271"/>
      <c r="B55" s="272"/>
      <c r="C55" s="272"/>
      <c r="D55" s="273"/>
      <c r="E55" s="338"/>
      <c r="F55" s="273"/>
      <c r="G55" s="360"/>
      <c r="H55" s="360"/>
      <c r="I55" s="390"/>
      <c r="J55" s="274"/>
      <c r="K55" s="225"/>
      <c r="L55" s="225"/>
      <c r="M55" s="225"/>
      <c r="N55" s="225"/>
      <c r="O55" s="225"/>
    </row>
    <row r="56" spans="1:15" s="239" customFormat="1" ht="12.75">
      <c r="A56" s="275" t="s">
        <v>146</v>
      </c>
      <c r="B56" s="251"/>
      <c r="C56" s="251"/>
      <c r="D56" s="276" t="s">
        <v>50</v>
      </c>
      <c r="E56" s="332">
        <f>0.1*3</f>
        <v>0.30000000000000004</v>
      </c>
      <c r="F56" s="276" t="s">
        <v>44</v>
      </c>
      <c r="G56" s="355">
        <f>+$B$17</f>
        <v>600</v>
      </c>
      <c r="H56" s="356">
        <f>IF(E56*G56,+E56*G56,"        ")</f>
        <v>180.00000000000003</v>
      </c>
      <c r="I56" s="391">
        <f>E56/B$12</f>
        <v>0.002666666666666667</v>
      </c>
      <c r="J56" s="277">
        <f aca="true" t="shared" si="10" ref="J56:J63">H56/H$102</f>
        <v>0.007013771282458605</v>
      </c>
      <c r="K56" s="225"/>
      <c r="L56" s="225"/>
      <c r="M56" s="225"/>
      <c r="N56" s="225"/>
      <c r="O56" s="225"/>
    </row>
    <row r="57" spans="1:15" s="239" customFormat="1" ht="12.75">
      <c r="A57" s="254" t="s">
        <v>147</v>
      </c>
      <c r="B57" s="255"/>
      <c r="C57" s="255"/>
      <c r="D57" s="267"/>
      <c r="E57" s="333">
        <v>0.5</v>
      </c>
      <c r="F57" s="257" t="s">
        <v>44</v>
      </c>
      <c r="G57" s="356">
        <f>+$B$17</f>
        <v>600</v>
      </c>
      <c r="H57" s="356">
        <f>IF(E57*G57,+E57*G57,"        ")</f>
        <v>300</v>
      </c>
      <c r="I57" s="387">
        <f>E57/B$12</f>
        <v>0.0044444444444444444</v>
      </c>
      <c r="J57" s="270">
        <f t="shared" si="10"/>
        <v>0.011689618804097674</v>
      </c>
      <c r="K57" s="225"/>
      <c r="L57" s="225"/>
      <c r="M57" s="225"/>
      <c r="N57" s="225"/>
      <c r="O57" s="225"/>
    </row>
    <row r="58" spans="1:15" s="239" customFormat="1" ht="12.75">
      <c r="A58" s="254" t="s">
        <v>196</v>
      </c>
      <c r="B58" s="255"/>
      <c r="C58" s="255"/>
      <c r="D58" s="267"/>
      <c r="E58" s="333">
        <v>0.125</v>
      </c>
      <c r="F58" s="267" t="s">
        <v>44</v>
      </c>
      <c r="G58" s="356">
        <v>600</v>
      </c>
      <c r="H58" s="356">
        <v>75</v>
      </c>
      <c r="I58" s="387">
        <v>0.0011111111111111111</v>
      </c>
      <c r="J58" s="270">
        <f t="shared" si="10"/>
        <v>0.0029224047010244186</v>
      </c>
      <c r="K58" s="225"/>
      <c r="L58" s="225"/>
      <c r="M58" s="225"/>
      <c r="N58" s="225"/>
      <c r="O58" s="225"/>
    </row>
    <row r="59" spans="1:15" s="239" customFormat="1" ht="12.75">
      <c r="A59" s="254" t="s">
        <v>115</v>
      </c>
      <c r="B59" s="255"/>
      <c r="C59" s="255"/>
      <c r="D59" s="267"/>
      <c r="E59" s="333">
        <v>0.1667</v>
      </c>
      <c r="F59" s="257" t="s">
        <v>44</v>
      </c>
      <c r="G59" s="356">
        <f aca="true" t="shared" si="11" ref="G59:G66">+$B$17</f>
        <v>600</v>
      </c>
      <c r="H59" s="356">
        <f aca="true" t="shared" si="12" ref="H59:H65">IF(E59*G59,+E59*G59,"        ")</f>
        <v>100.02</v>
      </c>
      <c r="I59" s="387">
        <f>E59/B$12</f>
        <v>0.0014817777777777776</v>
      </c>
      <c r="J59" s="270">
        <f t="shared" si="10"/>
        <v>0.0038973189092861645</v>
      </c>
      <c r="K59" s="225"/>
      <c r="L59" s="225"/>
      <c r="M59" s="225"/>
      <c r="N59" s="225"/>
      <c r="O59" s="225"/>
    </row>
    <row r="60" spans="1:15" s="239" customFormat="1" ht="12.75">
      <c r="A60" s="266" t="s">
        <v>132</v>
      </c>
      <c r="B60" s="255"/>
      <c r="C60" s="255"/>
      <c r="D60" s="267" t="s">
        <v>51</v>
      </c>
      <c r="E60" s="333">
        <f>0.1*3</f>
        <v>0.30000000000000004</v>
      </c>
      <c r="F60" s="267" t="s">
        <v>44</v>
      </c>
      <c r="G60" s="356">
        <f t="shared" si="11"/>
        <v>600</v>
      </c>
      <c r="H60" s="356">
        <f t="shared" si="12"/>
        <v>180.00000000000003</v>
      </c>
      <c r="I60" s="387">
        <f>E60/B$12</f>
        <v>0.002666666666666667</v>
      </c>
      <c r="J60" s="270">
        <f t="shared" si="10"/>
        <v>0.007013771282458605</v>
      </c>
      <c r="K60" s="225"/>
      <c r="L60" s="225"/>
      <c r="M60" s="225"/>
      <c r="N60" s="225"/>
      <c r="O60" s="225"/>
    </row>
    <row r="61" spans="1:15" s="239" customFormat="1" ht="12.75">
      <c r="A61" s="266" t="s">
        <v>145</v>
      </c>
      <c r="B61" s="255"/>
      <c r="C61" s="255"/>
      <c r="D61" s="267"/>
      <c r="E61" s="333">
        <v>0.1667</v>
      </c>
      <c r="F61" s="267" t="s">
        <v>44</v>
      </c>
      <c r="G61" s="356">
        <f t="shared" si="11"/>
        <v>600</v>
      </c>
      <c r="H61" s="356">
        <f t="shared" si="12"/>
        <v>100.02</v>
      </c>
      <c r="I61" s="387">
        <f>E61/B$12</f>
        <v>0.0014817777777777776</v>
      </c>
      <c r="J61" s="270">
        <f t="shared" si="10"/>
        <v>0.0038973189092861645</v>
      </c>
      <c r="K61" s="225"/>
      <c r="L61" s="225"/>
      <c r="M61" s="225"/>
      <c r="N61" s="225"/>
      <c r="O61" s="225"/>
    </row>
    <row r="62" spans="1:15" s="239" customFormat="1" ht="12.75">
      <c r="A62" s="254" t="s">
        <v>118</v>
      </c>
      <c r="B62" s="255"/>
      <c r="C62" s="255"/>
      <c r="D62" s="267"/>
      <c r="E62" s="333">
        <v>0.5</v>
      </c>
      <c r="F62" s="257" t="s">
        <v>44</v>
      </c>
      <c r="G62" s="356">
        <f t="shared" si="11"/>
        <v>600</v>
      </c>
      <c r="H62" s="356">
        <f t="shared" si="12"/>
        <v>300</v>
      </c>
      <c r="I62" s="387">
        <f>E62/B$12</f>
        <v>0.0044444444444444444</v>
      </c>
      <c r="J62" s="270">
        <f t="shared" si="10"/>
        <v>0.011689618804097674</v>
      </c>
      <c r="K62" s="225"/>
      <c r="L62" s="225"/>
      <c r="M62" s="225"/>
      <c r="N62" s="225"/>
      <c r="O62" s="225"/>
    </row>
    <row r="63" spans="1:10" ht="12.75">
      <c r="A63" s="278" t="s">
        <v>148</v>
      </c>
      <c r="B63" s="255"/>
      <c r="C63" s="255"/>
      <c r="D63" s="279" t="s">
        <v>52</v>
      </c>
      <c r="E63" s="334">
        <f>0.1*3</f>
        <v>0.30000000000000004</v>
      </c>
      <c r="F63" s="279" t="s">
        <v>44</v>
      </c>
      <c r="G63" s="356">
        <f t="shared" si="11"/>
        <v>600</v>
      </c>
      <c r="H63" s="356">
        <f t="shared" si="12"/>
        <v>180.00000000000003</v>
      </c>
      <c r="I63" s="386">
        <f>E63/B$12</f>
        <v>0.002666666666666667</v>
      </c>
      <c r="J63" s="280">
        <f t="shared" si="10"/>
        <v>0.007013771282458605</v>
      </c>
    </row>
    <row r="64" spans="1:10" ht="12.75">
      <c r="A64" s="278" t="s">
        <v>149</v>
      </c>
      <c r="B64" s="255"/>
      <c r="C64" s="255"/>
      <c r="D64" s="279"/>
      <c r="E64" s="334">
        <v>0.1</v>
      </c>
      <c r="F64" s="262" t="s">
        <v>44</v>
      </c>
      <c r="G64" s="356">
        <f t="shared" si="11"/>
        <v>600</v>
      </c>
      <c r="H64" s="356">
        <f t="shared" si="12"/>
        <v>60</v>
      </c>
      <c r="I64" s="386"/>
      <c r="J64" s="280"/>
    </row>
    <row r="65" spans="1:10" ht="12.75">
      <c r="A65" s="260" t="s">
        <v>150</v>
      </c>
      <c r="B65" s="255"/>
      <c r="C65" s="255"/>
      <c r="D65" s="279"/>
      <c r="E65" s="334">
        <v>0.5</v>
      </c>
      <c r="F65" s="262" t="s">
        <v>44</v>
      </c>
      <c r="G65" s="357">
        <f t="shared" si="11"/>
        <v>600</v>
      </c>
      <c r="H65" s="356">
        <f t="shared" si="12"/>
        <v>300</v>
      </c>
      <c r="I65" s="386">
        <f>E65/B$12</f>
        <v>0.0044444444444444444</v>
      </c>
      <c r="J65" s="280">
        <f aca="true" t="shared" si="13" ref="J65:J88">H65/H$102</f>
        <v>0.011689618804097674</v>
      </c>
    </row>
    <row r="66" spans="1:10" ht="12.75">
      <c r="A66" s="278" t="s">
        <v>151</v>
      </c>
      <c r="B66" s="255"/>
      <c r="C66" s="255"/>
      <c r="D66" s="279"/>
      <c r="E66" s="334">
        <v>0.1667</v>
      </c>
      <c r="F66" s="279" t="s">
        <v>44</v>
      </c>
      <c r="G66" s="356">
        <f t="shared" si="11"/>
        <v>600</v>
      </c>
      <c r="H66" s="369">
        <v>142.1875</v>
      </c>
      <c r="I66" s="386">
        <f>E66/B$12</f>
        <v>0.0014817777777777776</v>
      </c>
      <c r="J66" s="280">
        <f t="shared" si="13"/>
        <v>0.005540392245692126</v>
      </c>
    </row>
    <row r="67" spans="1:10" ht="25.5" customHeight="1">
      <c r="A67" s="401" t="s">
        <v>197</v>
      </c>
      <c r="B67" s="402"/>
      <c r="C67" s="403"/>
      <c r="D67" s="279"/>
      <c r="E67" s="339">
        <v>0.125</v>
      </c>
      <c r="F67" s="322" t="s">
        <v>44</v>
      </c>
      <c r="G67" s="361">
        <v>600</v>
      </c>
      <c r="H67" s="361">
        <v>75</v>
      </c>
      <c r="I67" s="392">
        <v>0.0011111111111111111</v>
      </c>
      <c r="J67" s="323">
        <f t="shared" si="13"/>
        <v>0.0029224047010244186</v>
      </c>
    </row>
    <row r="68" spans="1:10" ht="15" customHeight="1">
      <c r="A68" s="278" t="s">
        <v>152</v>
      </c>
      <c r="B68" s="261"/>
      <c r="C68" s="261"/>
      <c r="D68" s="279" t="s">
        <v>53</v>
      </c>
      <c r="E68" s="334">
        <f>0.1*4</f>
        <v>0.4</v>
      </c>
      <c r="F68" s="279" t="s">
        <v>44</v>
      </c>
      <c r="G68" s="356">
        <f>+$B$17</f>
        <v>600</v>
      </c>
      <c r="H68" s="356">
        <f aca="true" t="shared" si="14" ref="H68:H77">IF(E68*G68,+E68*G68,"        ")</f>
        <v>240</v>
      </c>
      <c r="I68" s="386">
        <f aca="true" t="shared" si="15" ref="I68:I77">E68/B$12</f>
        <v>0.0035555555555555557</v>
      </c>
      <c r="J68" s="280">
        <f t="shared" si="13"/>
        <v>0.009351695043278138</v>
      </c>
    </row>
    <row r="69" spans="1:11" s="222" customFormat="1" ht="12.75">
      <c r="A69" s="260" t="s">
        <v>153</v>
      </c>
      <c r="B69" s="261"/>
      <c r="C69" s="281"/>
      <c r="D69" s="348"/>
      <c r="E69" s="334">
        <v>0.1</v>
      </c>
      <c r="F69" s="262" t="s">
        <v>44</v>
      </c>
      <c r="G69" s="356">
        <f>+$B$17</f>
        <v>600</v>
      </c>
      <c r="H69" s="356">
        <f t="shared" si="14"/>
        <v>60</v>
      </c>
      <c r="I69" s="386">
        <f t="shared" si="15"/>
        <v>0.0008888888888888889</v>
      </c>
      <c r="J69" s="280">
        <f t="shared" si="13"/>
        <v>0.0023379237608195345</v>
      </c>
      <c r="K69" s="225"/>
    </row>
    <row r="70" spans="1:10" ht="13.5" customHeight="1">
      <c r="A70" s="278" t="s">
        <v>154</v>
      </c>
      <c r="B70" s="261"/>
      <c r="C70" s="261"/>
      <c r="D70" s="279"/>
      <c r="E70" s="334">
        <v>0.1667</v>
      </c>
      <c r="F70" s="279" t="s">
        <v>44</v>
      </c>
      <c r="G70" s="356">
        <f>+$B$17</f>
        <v>600</v>
      </c>
      <c r="H70" s="356">
        <f t="shared" si="14"/>
        <v>100.02</v>
      </c>
      <c r="I70" s="386">
        <f t="shared" si="15"/>
        <v>0.0014817777777777776</v>
      </c>
      <c r="J70" s="280">
        <f t="shared" si="13"/>
        <v>0.0038973189092861645</v>
      </c>
    </row>
    <row r="71" spans="1:10" ht="12.75">
      <c r="A71" s="260" t="s">
        <v>155</v>
      </c>
      <c r="B71" s="261"/>
      <c r="C71" s="281"/>
      <c r="D71" s="279"/>
      <c r="E71" s="334">
        <v>0.5</v>
      </c>
      <c r="F71" s="262" t="s">
        <v>44</v>
      </c>
      <c r="G71" s="357">
        <f>+$B$17</f>
        <v>600</v>
      </c>
      <c r="H71" s="369">
        <f t="shared" si="14"/>
        <v>300</v>
      </c>
      <c r="I71" s="386">
        <f t="shared" si="15"/>
        <v>0.0044444444444444444</v>
      </c>
      <c r="J71" s="280">
        <f t="shared" si="13"/>
        <v>0.011689618804097674</v>
      </c>
    </row>
    <row r="72" spans="1:10" ht="15.75" customHeight="1">
      <c r="A72" s="278" t="s">
        <v>156</v>
      </c>
      <c r="B72" s="261"/>
      <c r="C72" s="261"/>
      <c r="D72" s="279" t="s">
        <v>54</v>
      </c>
      <c r="E72" s="334">
        <f>0.1*4</f>
        <v>0.4</v>
      </c>
      <c r="F72" s="279" t="s">
        <v>44</v>
      </c>
      <c r="G72" s="356">
        <f aca="true" t="shared" si="16" ref="G72:G77">+$B$17</f>
        <v>600</v>
      </c>
      <c r="H72" s="369">
        <f t="shared" si="14"/>
        <v>240</v>
      </c>
      <c r="I72" s="386">
        <f t="shared" si="15"/>
        <v>0.0035555555555555557</v>
      </c>
      <c r="J72" s="280">
        <f t="shared" si="13"/>
        <v>0.009351695043278138</v>
      </c>
    </row>
    <row r="73" spans="1:10" ht="12.75">
      <c r="A73" s="260" t="s">
        <v>157</v>
      </c>
      <c r="B73" s="261"/>
      <c r="C73" s="261"/>
      <c r="D73" s="349"/>
      <c r="E73" s="279">
        <v>0.1667</v>
      </c>
      <c r="F73" s="279" t="s">
        <v>44</v>
      </c>
      <c r="G73" s="356">
        <f t="shared" si="16"/>
        <v>600</v>
      </c>
      <c r="H73" s="369">
        <f t="shared" si="14"/>
        <v>100.02</v>
      </c>
      <c r="I73" s="386">
        <f t="shared" si="15"/>
        <v>0.0014817777777777776</v>
      </c>
      <c r="J73" s="280">
        <f t="shared" si="13"/>
        <v>0.0038973189092861645</v>
      </c>
    </row>
    <row r="74" spans="1:10" ht="12.75">
      <c r="A74" s="278" t="s">
        <v>158</v>
      </c>
      <c r="B74" s="261"/>
      <c r="C74" s="261"/>
      <c r="D74" s="279" t="s">
        <v>55</v>
      </c>
      <c r="E74" s="334">
        <f>0.1*4</f>
        <v>0.4</v>
      </c>
      <c r="F74" s="279" t="s">
        <v>44</v>
      </c>
      <c r="G74" s="356">
        <f t="shared" si="16"/>
        <v>600</v>
      </c>
      <c r="H74" s="369">
        <f t="shared" si="14"/>
        <v>240</v>
      </c>
      <c r="I74" s="386">
        <f t="shared" si="15"/>
        <v>0.0035555555555555557</v>
      </c>
      <c r="J74" s="280">
        <f t="shared" si="13"/>
        <v>0.009351695043278138</v>
      </c>
    </row>
    <row r="75" spans="1:11" s="222" customFormat="1" ht="12.75">
      <c r="A75" s="260" t="s">
        <v>159</v>
      </c>
      <c r="B75" s="255"/>
      <c r="C75" s="282"/>
      <c r="D75" s="350"/>
      <c r="E75" s="333">
        <v>0.1</v>
      </c>
      <c r="F75" s="257" t="s">
        <v>44</v>
      </c>
      <c r="G75" s="356">
        <f t="shared" si="16"/>
        <v>600</v>
      </c>
      <c r="H75" s="369">
        <f t="shared" si="14"/>
        <v>60</v>
      </c>
      <c r="I75" s="386">
        <f t="shared" si="15"/>
        <v>0.0008888888888888889</v>
      </c>
      <c r="J75" s="280">
        <f t="shared" si="13"/>
        <v>0.0023379237608195345</v>
      </c>
      <c r="K75" s="225"/>
    </row>
    <row r="76" spans="1:11" s="222" customFormat="1" ht="15" customHeight="1">
      <c r="A76" s="278" t="s">
        <v>160</v>
      </c>
      <c r="B76" s="255"/>
      <c r="C76" s="255"/>
      <c r="D76" s="267"/>
      <c r="E76" s="333">
        <v>0.1</v>
      </c>
      <c r="F76" s="257" t="s">
        <v>44</v>
      </c>
      <c r="G76" s="356">
        <f t="shared" si="16"/>
        <v>600</v>
      </c>
      <c r="H76" s="369">
        <f t="shared" si="14"/>
        <v>60</v>
      </c>
      <c r="I76" s="386">
        <f t="shared" si="15"/>
        <v>0.0008888888888888889</v>
      </c>
      <c r="J76" s="280">
        <f t="shared" si="13"/>
        <v>0.0023379237608195345</v>
      </c>
      <c r="K76" s="225"/>
    </row>
    <row r="77" spans="1:10" ht="12.75">
      <c r="A77" s="260" t="s">
        <v>161</v>
      </c>
      <c r="B77" s="255"/>
      <c r="C77" s="255"/>
      <c r="D77" s="347"/>
      <c r="E77" s="267">
        <v>0.1667</v>
      </c>
      <c r="F77" s="267" t="s">
        <v>44</v>
      </c>
      <c r="G77" s="356">
        <f t="shared" si="16"/>
        <v>600</v>
      </c>
      <c r="H77" s="369">
        <f t="shared" si="14"/>
        <v>100.02</v>
      </c>
      <c r="I77" s="386">
        <f t="shared" si="15"/>
        <v>0.0014817777777777776</v>
      </c>
      <c r="J77" s="280">
        <f t="shared" si="13"/>
        <v>0.0038973189092861645</v>
      </c>
    </row>
    <row r="78" spans="1:10" ht="25.5" customHeight="1">
      <c r="A78" s="401" t="s">
        <v>198</v>
      </c>
      <c r="B78" s="402"/>
      <c r="C78" s="403"/>
      <c r="D78" s="267"/>
      <c r="E78" s="335">
        <v>0.125</v>
      </c>
      <c r="F78" s="320" t="s">
        <v>44</v>
      </c>
      <c r="G78" s="358">
        <v>600</v>
      </c>
      <c r="H78" s="370">
        <v>75</v>
      </c>
      <c r="I78" s="388">
        <v>0.0011111111111111111</v>
      </c>
      <c r="J78" s="323">
        <f t="shared" si="13"/>
        <v>0.0029224047010244186</v>
      </c>
    </row>
    <row r="79" spans="1:10" ht="15" customHeight="1">
      <c r="A79" s="254" t="s">
        <v>162</v>
      </c>
      <c r="B79" s="255"/>
      <c r="C79" s="255"/>
      <c r="D79" s="267"/>
      <c r="E79" s="333">
        <v>1</v>
      </c>
      <c r="F79" s="257" t="s">
        <v>40</v>
      </c>
      <c r="G79" s="356">
        <v>280</v>
      </c>
      <c r="H79" s="369">
        <f aca="true" t="shared" si="17" ref="H79:H86">IF(E79*G79,+E79*G79,"        ")</f>
        <v>280</v>
      </c>
      <c r="I79" s="387">
        <f aca="true" t="shared" si="18" ref="I79:I86">E79/B$12</f>
        <v>0.008888888888888889</v>
      </c>
      <c r="J79" s="280">
        <f t="shared" si="13"/>
        <v>0.010910310883824496</v>
      </c>
    </row>
    <row r="80" spans="1:10" ht="12.75">
      <c r="A80" s="254" t="s">
        <v>163</v>
      </c>
      <c r="B80" s="255"/>
      <c r="C80" s="255"/>
      <c r="D80" s="267"/>
      <c r="E80" s="333">
        <v>1</v>
      </c>
      <c r="F80" s="257" t="s">
        <v>40</v>
      </c>
      <c r="G80" s="356">
        <v>120</v>
      </c>
      <c r="H80" s="369">
        <f t="shared" si="17"/>
        <v>120</v>
      </c>
      <c r="I80" s="387">
        <f t="shared" si="18"/>
        <v>0.008888888888888889</v>
      </c>
      <c r="J80" s="280">
        <f t="shared" si="13"/>
        <v>0.004675847521639069</v>
      </c>
    </row>
    <row r="81" spans="1:10" ht="12.75">
      <c r="A81" s="254" t="s">
        <v>164</v>
      </c>
      <c r="B81" s="255"/>
      <c r="C81" s="255"/>
      <c r="D81" s="267"/>
      <c r="E81" s="333">
        <v>1</v>
      </c>
      <c r="F81" s="257" t="s">
        <v>40</v>
      </c>
      <c r="G81" s="356">
        <v>350</v>
      </c>
      <c r="H81" s="369">
        <f t="shared" si="17"/>
        <v>350</v>
      </c>
      <c r="I81" s="387">
        <f t="shared" si="18"/>
        <v>0.008888888888888889</v>
      </c>
      <c r="J81" s="280">
        <f t="shared" si="13"/>
        <v>0.013637888604780619</v>
      </c>
    </row>
    <row r="82" spans="1:15" s="284" customFormat="1" ht="17.25" customHeight="1">
      <c r="A82" s="266" t="s">
        <v>165</v>
      </c>
      <c r="B82" s="255"/>
      <c r="C82" s="255"/>
      <c r="D82" s="267" t="s">
        <v>56</v>
      </c>
      <c r="E82" s="333">
        <v>0.4</v>
      </c>
      <c r="F82" s="267" t="s">
        <v>44</v>
      </c>
      <c r="G82" s="356">
        <f>+$B$17</f>
        <v>600</v>
      </c>
      <c r="H82" s="369">
        <f t="shared" si="17"/>
        <v>240</v>
      </c>
      <c r="I82" s="387">
        <f t="shared" si="18"/>
        <v>0.0035555555555555557</v>
      </c>
      <c r="J82" s="280">
        <f t="shared" si="13"/>
        <v>0.009351695043278138</v>
      </c>
      <c r="K82" s="283"/>
      <c r="L82" s="255"/>
      <c r="M82" s="255"/>
      <c r="N82" s="255"/>
      <c r="O82" s="255"/>
    </row>
    <row r="83" spans="1:10" ht="12.75">
      <c r="A83" s="254" t="s">
        <v>166</v>
      </c>
      <c r="B83" s="255"/>
      <c r="C83" s="255"/>
      <c r="D83" s="347"/>
      <c r="E83" s="267">
        <v>0.1667</v>
      </c>
      <c r="F83" s="267" t="s">
        <v>44</v>
      </c>
      <c r="G83" s="356">
        <f>+$B$17</f>
        <v>600</v>
      </c>
      <c r="H83" s="369">
        <f t="shared" si="17"/>
        <v>100.02</v>
      </c>
      <c r="I83" s="387">
        <f t="shared" si="18"/>
        <v>0.0014817777777777776</v>
      </c>
      <c r="J83" s="280">
        <f t="shared" si="13"/>
        <v>0.0038973189092861645</v>
      </c>
    </row>
    <row r="84" spans="1:11" ht="25.5" customHeight="1">
      <c r="A84" s="404" t="s">
        <v>167</v>
      </c>
      <c r="B84" s="405"/>
      <c r="C84" s="405"/>
      <c r="D84" s="347"/>
      <c r="E84" s="340">
        <f>+(7.03125*4)</f>
        <v>28.125</v>
      </c>
      <c r="F84" s="320" t="s">
        <v>67</v>
      </c>
      <c r="G84" s="358">
        <v>4.5</v>
      </c>
      <c r="H84" s="358">
        <f t="shared" si="17"/>
        <v>126.5625</v>
      </c>
      <c r="I84" s="388">
        <f t="shared" si="18"/>
        <v>0.25</v>
      </c>
      <c r="J84" s="323">
        <f t="shared" si="13"/>
        <v>0.004931557932978706</v>
      </c>
      <c r="K84" s="225">
        <f>125/4</f>
        <v>31.25</v>
      </c>
    </row>
    <row r="85" spans="1:15" s="284" customFormat="1" ht="14.25" customHeight="1">
      <c r="A85" s="266" t="s">
        <v>168</v>
      </c>
      <c r="B85" s="255"/>
      <c r="C85" s="255"/>
      <c r="D85" s="267" t="s">
        <v>57</v>
      </c>
      <c r="E85" s="333">
        <v>0.4</v>
      </c>
      <c r="F85" s="267" t="s">
        <v>44</v>
      </c>
      <c r="G85" s="356">
        <f>+$B$17</f>
        <v>600</v>
      </c>
      <c r="H85" s="356">
        <f t="shared" si="17"/>
        <v>240</v>
      </c>
      <c r="I85" s="387">
        <f t="shared" si="18"/>
        <v>0.0035555555555555557</v>
      </c>
      <c r="J85" s="280">
        <f t="shared" si="13"/>
        <v>0.009351695043278138</v>
      </c>
      <c r="K85" s="283"/>
      <c r="L85" s="255"/>
      <c r="M85" s="255"/>
      <c r="N85" s="255"/>
      <c r="O85" s="255"/>
    </row>
    <row r="86" spans="1:10" ht="12.75">
      <c r="A86" s="254" t="s">
        <v>169</v>
      </c>
      <c r="B86" s="255"/>
      <c r="C86" s="255"/>
      <c r="D86" s="347"/>
      <c r="E86" s="267">
        <v>0.1667</v>
      </c>
      <c r="F86" s="267" t="s">
        <v>44</v>
      </c>
      <c r="G86" s="356">
        <f>+$B$17</f>
        <v>600</v>
      </c>
      <c r="H86" s="356">
        <f t="shared" si="17"/>
        <v>100.02</v>
      </c>
      <c r="I86" s="387">
        <f t="shared" si="18"/>
        <v>0.0014817777777777776</v>
      </c>
      <c r="J86" s="280">
        <f t="shared" si="13"/>
        <v>0.0038973189092861645</v>
      </c>
    </row>
    <row r="87" spans="1:10" ht="26.25" customHeight="1">
      <c r="A87" s="404" t="s">
        <v>199</v>
      </c>
      <c r="B87" s="405"/>
      <c r="C87" s="406"/>
      <c r="D87" s="267"/>
      <c r="E87" s="335">
        <v>0.125</v>
      </c>
      <c r="F87" s="320" t="s">
        <v>44</v>
      </c>
      <c r="G87" s="358">
        <v>4.5</v>
      </c>
      <c r="H87" s="358">
        <v>0.5625</v>
      </c>
      <c r="I87" s="388">
        <v>0.0011111111111111111</v>
      </c>
      <c r="J87" s="323">
        <f t="shared" si="13"/>
        <v>2.191803525768314E-05</v>
      </c>
    </row>
    <row r="88" spans="1:11" ht="26.25" customHeight="1">
      <c r="A88" s="404" t="s">
        <v>170</v>
      </c>
      <c r="B88" s="405"/>
      <c r="C88" s="405"/>
      <c r="D88" s="347"/>
      <c r="E88" s="340">
        <f>+(7.03125*4)</f>
        <v>28.125</v>
      </c>
      <c r="F88" s="320" t="s">
        <v>67</v>
      </c>
      <c r="G88" s="358">
        <v>4.5</v>
      </c>
      <c r="H88" s="358">
        <f>IF(E88*G88,+E88*G88,"        ")</f>
        <v>126.5625</v>
      </c>
      <c r="I88" s="388">
        <f>E88/B$12</f>
        <v>0.25</v>
      </c>
      <c r="J88" s="323">
        <f t="shared" si="13"/>
        <v>0.004931557932978706</v>
      </c>
      <c r="K88" s="225">
        <f>125/4</f>
        <v>31.25</v>
      </c>
    </row>
    <row r="89" spans="1:10" ht="3" customHeight="1">
      <c r="A89" s="285"/>
      <c r="B89" s="286"/>
      <c r="C89" s="286"/>
      <c r="D89" s="351"/>
      <c r="E89" s="341"/>
      <c r="F89" s="273"/>
      <c r="G89" s="360"/>
      <c r="H89" s="360"/>
      <c r="I89" s="390"/>
      <c r="J89" s="287"/>
    </row>
    <row r="90" spans="1:15" s="284" customFormat="1" ht="15.75" customHeight="1">
      <c r="A90" s="288" t="s">
        <v>172</v>
      </c>
      <c r="B90" s="251"/>
      <c r="C90" s="251"/>
      <c r="D90" s="252" t="s">
        <v>58</v>
      </c>
      <c r="E90" s="332">
        <v>0.4</v>
      </c>
      <c r="F90" s="252" t="s">
        <v>44</v>
      </c>
      <c r="G90" s="356">
        <f>+$B$17</f>
        <v>600</v>
      </c>
      <c r="H90" s="355">
        <f>IF(E90*G90,+E90*G90,"        ")</f>
        <v>240</v>
      </c>
      <c r="I90" s="393">
        <f aca="true" t="shared" si="19" ref="I90:I95">E90/B$12</f>
        <v>0.0035555555555555557</v>
      </c>
      <c r="J90" s="253">
        <f aca="true" t="shared" si="20" ref="J90:J95">H90/H$102</f>
        <v>0.009351695043278138</v>
      </c>
      <c r="K90" s="283"/>
      <c r="L90" s="255"/>
      <c r="M90" s="255"/>
      <c r="N90" s="255"/>
      <c r="O90" s="255"/>
    </row>
    <row r="91" spans="1:10" ht="12.75">
      <c r="A91" s="254" t="s">
        <v>171</v>
      </c>
      <c r="B91" s="255"/>
      <c r="C91" s="255"/>
      <c r="D91" s="347"/>
      <c r="E91" s="267">
        <v>0.1667</v>
      </c>
      <c r="F91" s="267" t="s">
        <v>44</v>
      </c>
      <c r="G91" s="356">
        <f>+$B$17</f>
        <v>600</v>
      </c>
      <c r="H91" s="356">
        <f>IF(E91*G91,+E91*G91,"        ")</f>
        <v>100.02</v>
      </c>
      <c r="I91" s="394">
        <f t="shared" si="19"/>
        <v>0.0014817777777777776</v>
      </c>
      <c r="J91" s="265">
        <f t="shared" si="20"/>
        <v>0.0038973189092861645</v>
      </c>
    </row>
    <row r="92" spans="1:11" ht="25.5" customHeight="1">
      <c r="A92" s="404" t="s">
        <v>173</v>
      </c>
      <c r="B92" s="405"/>
      <c r="C92" s="405"/>
      <c r="D92" s="347"/>
      <c r="E92" s="340">
        <f>+(7.03125*4)</f>
        <v>28.125</v>
      </c>
      <c r="F92" s="320" t="s">
        <v>67</v>
      </c>
      <c r="G92" s="358">
        <v>4.5</v>
      </c>
      <c r="H92" s="358">
        <f>+E92*G92</f>
        <v>126.5625</v>
      </c>
      <c r="I92" s="388">
        <f t="shared" si="19"/>
        <v>0.25</v>
      </c>
      <c r="J92" s="321">
        <f t="shared" si="20"/>
        <v>0.004931557932978706</v>
      </c>
      <c r="K92" s="225">
        <f>125/4</f>
        <v>31.25</v>
      </c>
    </row>
    <row r="93" spans="1:10" ht="12.75">
      <c r="A93" s="266" t="s">
        <v>174</v>
      </c>
      <c r="B93" s="255"/>
      <c r="C93" s="255"/>
      <c r="D93" s="267" t="s">
        <v>59</v>
      </c>
      <c r="E93" s="333">
        <v>0.4</v>
      </c>
      <c r="F93" s="267" t="s">
        <v>44</v>
      </c>
      <c r="G93" s="356">
        <f>+$B$17</f>
        <v>600</v>
      </c>
      <c r="H93" s="356">
        <f>+E93*G93</f>
        <v>240</v>
      </c>
      <c r="I93" s="387">
        <f t="shared" si="19"/>
        <v>0.0035555555555555557</v>
      </c>
      <c r="J93" s="265">
        <f t="shared" si="20"/>
        <v>0.009351695043278138</v>
      </c>
    </row>
    <row r="94" spans="1:11" ht="14.25" customHeight="1">
      <c r="A94" s="254" t="s">
        <v>175</v>
      </c>
      <c r="B94" s="255"/>
      <c r="C94" s="255"/>
      <c r="D94" s="347"/>
      <c r="E94" s="267">
        <v>0.1667</v>
      </c>
      <c r="F94" s="267" t="s">
        <v>44</v>
      </c>
      <c r="G94" s="356">
        <f>+$B$17</f>
        <v>600</v>
      </c>
      <c r="H94" s="371">
        <f>+E94*G94</f>
        <v>100.02</v>
      </c>
      <c r="I94" s="387">
        <f t="shared" si="19"/>
        <v>0.0014817777777777776</v>
      </c>
      <c r="J94" s="265">
        <f t="shared" si="20"/>
        <v>0.0038973189092861645</v>
      </c>
      <c r="K94" s="225">
        <f>125/4</f>
        <v>31.25</v>
      </c>
    </row>
    <row r="95" spans="1:15" s="284" customFormat="1" ht="24.75" customHeight="1" thickBot="1">
      <c r="A95" s="422" t="s">
        <v>127</v>
      </c>
      <c r="B95" s="423"/>
      <c r="C95" s="423"/>
      <c r="D95" s="352"/>
      <c r="E95" s="342">
        <f>+(7.03125*4)</f>
        <v>28.125</v>
      </c>
      <c r="F95" s="324" t="s">
        <v>67</v>
      </c>
      <c r="G95" s="362">
        <v>4.5</v>
      </c>
      <c r="H95" s="372">
        <f>+E95*G95</f>
        <v>126.5625</v>
      </c>
      <c r="I95" s="395">
        <f t="shared" si="19"/>
        <v>0.25</v>
      </c>
      <c r="J95" s="325">
        <f t="shared" si="20"/>
        <v>0.004931557932978706</v>
      </c>
      <c r="K95" s="283"/>
      <c r="L95" s="255"/>
      <c r="M95" s="255"/>
      <c r="N95" s="255"/>
      <c r="O95" s="255"/>
    </row>
    <row r="96" spans="1:15" s="239" customFormat="1" ht="13.5" thickBot="1">
      <c r="A96" s="255"/>
      <c r="B96" s="255"/>
      <c r="C96" s="255"/>
      <c r="D96" s="289"/>
      <c r="E96" s="289"/>
      <c r="F96" s="289"/>
      <c r="G96" s="359"/>
      <c r="H96" s="289"/>
      <c r="I96" s="389"/>
      <c r="J96" s="290"/>
      <c r="K96" s="225"/>
      <c r="L96" s="225"/>
      <c r="M96" s="225"/>
      <c r="N96" s="225"/>
      <c r="O96" s="225"/>
    </row>
    <row r="97" spans="1:15" s="239" customFormat="1" ht="3.75" customHeight="1">
      <c r="A97" s="291"/>
      <c r="B97" s="292"/>
      <c r="C97" s="292"/>
      <c r="D97" s="293"/>
      <c r="E97" s="293"/>
      <c r="F97" s="293"/>
      <c r="G97" s="293"/>
      <c r="H97" s="373"/>
      <c r="I97" s="396"/>
      <c r="J97" s="224"/>
      <c r="K97" s="222"/>
      <c r="L97" s="225"/>
      <c r="M97" s="225"/>
      <c r="N97" s="225"/>
      <c r="O97" s="225"/>
    </row>
    <row r="98" spans="1:15" s="284" customFormat="1" ht="13.5" customHeight="1">
      <c r="A98" s="268" t="s">
        <v>68</v>
      </c>
      <c r="B98" s="294"/>
      <c r="C98" s="295"/>
      <c r="D98" s="289"/>
      <c r="E98" s="289"/>
      <c r="F98" s="296"/>
      <c r="G98" s="289"/>
      <c r="H98" s="374">
        <f>SUM(H23:H95)</f>
        <v>23296.837925000003</v>
      </c>
      <c r="I98" s="396"/>
      <c r="J98" s="297"/>
      <c r="K98" s="255"/>
      <c r="L98" s="255"/>
      <c r="M98" s="255"/>
      <c r="N98" s="255"/>
      <c r="O98" s="255"/>
    </row>
    <row r="99" spans="1:15" s="284" customFormat="1" ht="12.75" customHeight="1">
      <c r="A99" s="254" t="s">
        <v>60</v>
      </c>
      <c r="B99" s="255"/>
      <c r="C99" s="294"/>
      <c r="D99" s="296"/>
      <c r="E99" s="296"/>
      <c r="F99" s="296"/>
      <c r="G99" s="289"/>
      <c r="H99" s="375">
        <f>(H98*0.02)</f>
        <v>465.93675850000005</v>
      </c>
      <c r="I99" s="396"/>
      <c r="J99" s="297"/>
      <c r="K99" s="255"/>
      <c r="L99" s="255"/>
      <c r="M99" s="255"/>
      <c r="N99" s="255"/>
      <c r="O99" s="255"/>
    </row>
    <row r="100" spans="1:11" ht="15" customHeight="1">
      <c r="A100" s="254" t="s">
        <v>61</v>
      </c>
      <c r="B100" s="255"/>
      <c r="C100" s="294"/>
      <c r="D100" s="296"/>
      <c r="E100" s="296"/>
      <c r="F100" s="296"/>
      <c r="G100" s="289"/>
      <c r="H100" s="375">
        <v>0</v>
      </c>
      <c r="I100" s="396"/>
      <c r="J100" s="297"/>
      <c r="K100" s="222"/>
    </row>
    <row r="101" spans="1:11" ht="14.25" customHeight="1">
      <c r="A101" s="254" t="s">
        <v>179</v>
      </c>
      <c r="B101" s="255"/>
      <c r="C101" s="255"/>
      <c r="D101" s="289"/>
      <c r="E101" s="289"/>
      <c r="F101" s="289"/>
      <c r="G101" s="289"/>
      <c r="H101" s="376">
        <f>SUM(H98:H100)*0.08</f>
        <v>1901.0219746800003</v>
      </c>
      <c r="I101" s="397">
        <f>+H99+H100+H101</f>
        <v>2366.9587331800003</v>
      </c>
      <c r="J101" s="297"/>
      <c r="K101" s="222"/>
    </row>
    <row r="102" spans="1:11" ht="18" customHeight="1" thickBot="1">
      <c r="A102" s="298" t="s">
        <v>62</v>
      </c>
      <c r="B102" s="299"/>
      <c r="C102" s="299"/>
      <c r="D102" s="300"/>
      <c r="E102" s="300"/>
      <c r="F102" s="300"/>
      <c r="G102" s="363"/>
      <c r="H102" s="377">
        <f>SUM(H98:H101)</f>
        <v>25663.796658180003</v>
      </c>
      <c r="I102" s="396"/>
      <c r="J102" s="297"/>
      <c r="K102" s="222"/>
    </row>
    <row r="103" spans="1:11" ht="11.25" customHeight="1" thickBot="1">
      <c r="A103" s="301"/>
      <c r="B103" s="294"/>
      <c r="C103" s="294"/>
      <c r="D103" s="296"/>
      <c r="E103" s="296"/>
      <c r="F103" s="296"/>
      <c r="G103" s="296"/>
      <c r="H103" s="378">
        <f>SUM(H99:H101)</f>
        <v>2366.9587331800003</v>
      </c>
      <c r="I103" s="398"/>
      <c r="J103" s="302"/>
      <c r="K103" s="222"/>
    </row>
    <row r="104" spans="1:15" s="305" customFormat="1" ht="15.75" customHeight="1">
      <c r="A104" s="303" t="s">
        <v>63</v>
      </c>
      <c r="B104" s="304"/>
      <c r="C104" s="326">
        <v>0</v>
      </c>
      <c r="D104" s="328">
        <f>(C104/H98)</f>
        <v>0</v>
      </c>
      <c r="E104" s="407" t="s">
        <v>64</v>
      </c>
      <c r="F104" s="408"/>
      <c r="G104" s="364">
        <f>SUM(H48:H95)</f>
        <v>6990.220000000002</v>
      </c>
      <c r="H104" s="379">
        <f>(G104/H98)</f>
        <v>0.30005016227969494</v>
      </c>
      <c r="I104" s="396"/>
      <c r="J104" s="224"/>
      <c r="K104" s="222"/>
      <c r="L104" s="227"/>
      <c r="M104" s="227"/>
      <c r="N104" s="227"/>
      <c r="O104" s="227"/>
    </row>
    <row r="105" spans="1:15" s="305" customFormat="1" ht="15" customHeight="1">
      <c r="A105" s="254" t="s">
        <v>65</v>
      </c>
      <c r="B105" s="306"/>
      <c r="C105" s="327">
        <f>SUM(H39:H45)</f>
        <v>2076</v>
      </c>
      <c r="D105" s="329">
        <f>ROUND((C105/H98),7)</f>
        <v>0.0891108</v>
      </c>
      <c r="E105" s="409" t="s">
        <v>66</v>
      </c>
      <c r="F105" s="410"/>
      <c r="G105" s="365">
        <f>SUM(H24:H36)</f>
        <v>13647.597925</v>
      </c>
      <c r="H105" s="380">
        <f>(G105/H98)</f>
        <v>0.5858133180535486</v>
      </c>
      <c r="I105" s="396"/>
      <c r="J105" s="224"/>
      <c r="K105" s="222"/>
      <c r="L105" s="227"/>
      <c r="M105" s="227"/>
      <c r="N105" s="227"/>
      <c r="O105" s="227"/>
    </row>
    <row r="106" spans="1:15" s="305" customFormat="1" ht="12.75" customHeight="1" thickBot="1">
      <c r="A106" s="307"/>
      <c r="B106" s="308"/>
      <c r="C106" s="309"/>
      <c r="D106" s="353"/>
      <c r="E106" s="310"/>
      <c r="F106" s="310"/>
      <c r="G106" s="366"/>
      <c r="H106" s="381"/>
      <c r="I106" s="396"/>
      <c r="J106" s="224"/>
      <c r="K106" s="222"/>
      <c r="L106" s="227"/>
      <c r="M106" s="227"/>
      <c r="N106" s="227"/>
      <c r="O106" s="227"/>
    </row>
    <row r="107" spans="1:15" s="305" customFormat="1" ht="19.5" customHeight="1">
      <c r="A107" s="259" t="s">
        <v>79</v>
      </c>
      <c r="B107" s="222"/>
      <c r="C107" s="222"/>
      <c r="D107" s="223"/>
      <c r="E107" s="223"/>
      <c r="F107" s="223"/>
      <c r="G107" s="223"/>
      <c r="H107" s="223"/>
      <c r="I107" s="396"/>
      <c r="J107" s="224"/>
      <c r="K107" s="227"/>
      <c r="L107" s="227"/>
      <c r="M107" s="227"/>
      <c r="N107" s="227"/>
      <c r="O107" s="227"/>
    </row>
    <row r="108" spans="1:15" s="305" customFormat="1" ht="13.5" customHeight="1">
      <c r="A108" s="418" t="s">
        <v>76</v>
      </c>
      <c r="B108" s="418"/>
      <c r="C108" s="418"/>
      <c r="D108" s="418"/>
      <c r="E108" s="418"/>
      <c r="F108" s="418"/>
      <c r="G108" s="418"/>
      <c r="H108" s="418"/>
      <c r="I108" s="418"/>
      <c r="J108" s="224"/>
      <c r="K108" s="311"/>
      <c r="L108" s="227"/>
      <c r="M108" s="227"/>
      <c r="N108" s="227"/>
      <c r="O108" s="227"/>
    </row>
    <row r="109" spans="1:15" s="305" customFormat="1" ht="13.5" customHeight="1">
      <c r="A109" s="418" t="s">
        <v>188</v>
      </c>
      <c r="B109" s="418"/>
      <c r="C109" s="418"/>
      <c r="D109" s="418"/>
      <c r="E109" s="418"/>
      <c r="F109" s="418"/>
      <c r="G109" s="418"/>
      <c r="H109" s="418"/>
      <c r="I109" s="418"/>
      <c r="J109" s="224"/>
      <c r="K109" s="311"/>
      <c r="L109" s="227"/>
      <c r="M109" s="227"/>
      <c r="N109" s="227"/>
      <c r="O109" s="227"/>
    </row>
    <row r="110" spans="1:10" ht="12.75">
      <c r="A110" s="227" t="s">
        <v>77</v>
      </c>
      <c r="B110" s="227"/>
      <c r="C110" s="312"/>
      <c r="D110" s="330"/>
      <c r="E110" s="330"/>
      <c r="F110" s="354"/>
      <c r="G110" s="367"/>
      <c r="H110" s="382"/>
      <c r="I110" s="399"/>
      <c r="J110" s="224"/>
    </row>
    <row r="111" spans="1:10" ht="12.75">
      <c r="A111" s="227" t="s">
        <v>200</v>
      </c>
      <c r="B111" s="227"/>
      <c r="C111" s="227"/>
      <c r="D111" s="330"/>
      <c r="E111" s="330"/>
      <c r="F111" s="330"/>
      <c r="G111" s="330"/>
      <c r="H111" s="330"/>
      <c r="I111" s="399"/>
      <c r="J111" s="227"/>
    </row>
    <row r="112" spans="1:10" ht="12.75">
      <c r="A112" s="227" t="s">
        <v>80</v>
      </c>
      <c r="B112" s="227"/>
      <c r="C112" s="227"/>
      <c r="D112" s="330"/>
      <c r="E112" s="330"/>
      <c r="F112" s="330"/>
      <c r="G112" s="330"/>
      <c r="H112" s="330"/>
      <c r="I112" s="399"/>
      <c r="J112" s="227"/>
    </row>
    <row r="113" spans="1:10" ht="12.75">
      <c r="A113" s="222"/>
      <c r="B113" s="222"/>
      <c r="C113" s="222"/>
      <c r="D113" s="223"/>
      <c r="E113" s="223"/>
      <c r="F113" s="223"/>
      <c r="G113" s="223"/>
      <c r="H113" s="223"/>
      <c r="I113" s="383"/>
      <c r="J113" s="227"/>
    </row>
    <row r="114" spans="1:15" s="239" customFormat="1" ht="12.75">
      <c r="A114" s="222"/>
      <c r="B114" s="222"/>
      <c r="C114" s="222"/>
      <c r="D114" s="223"/>
      <c r="E114" s="223"/>
      <c r="F114" s="223"/>
      <c r="G114" s="223"/>
      <c r="H114" s="223"/>
      <c r="I114" s="383"/>
      <c r="J114" s="227"/>
      <c r="K114" s="225"/>
      <c r="L114" s="225"/>
      <c r="M114" s="225"/>
      <c r="N114" s="225"/>
      <c r="O114" s="225"/>
    </row>
    <row r="115" spans="1:10" s="225" customFormat="1" ht="12.75">
      <c r="A115" s="222"/>
      <c r="B115" s="222"/>
      <c r="C115" s="222"/>
      <c r="D115" s="223"/>
      <c r="E115" s="223"/>
      <c r="F115" s="223"/>
      <c r="G115" s="223"/>
      <c r="H115" s="223"/>
      <c r="I115" s="383"/>
      <c r="J115" s="224"/>
    </row>
    <row r="116" spans="4:11" s="222" customFormat="1" ht="12.75">
      <c r="D116" s="223"/>
      <c r="E116" s="223"/>
      <c r="F116" s="223"/>
      <c r="G116" s="223"/>
      <c r="H116" s="223"/>
      <c r="I116" s="383"/>
      <c r="J116" s="224"/>
      <c r="K116" s="225"/>
    </row>
    <row r="117" spans="4:11" s="222" customFormat="1" ht="12.75">
      <c r="D117" s="223"/>
      <c r="E117" s="223"/>
      <c r="F117" s="223"/>
      <c r="G117" s="223"/>
      <c r="H117" s="223"/>
      <c r="I117" s="383"/>
      <c r="J117" s="224"/>
      <c r="K117" s="225"/>
    </row>
    <row r="118" spans="4:11" s="222" customFormat="1" ht="12.75">
      <c r="D118" s="223"/>
      <c r="E118" s="223"/>
      <c r="F118" s="223"/>
      <c r="G118" s="223"/>
      <c r="H118" s="223"/>
      <c r="I118" s="383"/>
      <c r="J118" s="224"/>
      <c r="K118" s="225"/>
    </row>
    <row r="119" spans="4:11" s="222" customFormat="1" ht="12.75">
      <c r="D119" s="223"/>
      <c r="E119" s="223"/>
      <c r="F119" s="223"/>
      <c r="G119" s="223"/>
      <c r="H119" s="223"/>
      <c r="I119" s="383"/>
      <c r="J119" s="224"/>
      <c r="K119" s="225"/>
    </row>
    <row r="120" spans="1:11" s="222" customFormat="1" ht="12.75">
      <c r="A120" s="421"/>
      <c r="B120" s="421"/>
      <c r="C120" s="421"/>
      <c r="D120" s="421"/>
      <c r="E120" s="421"/>
      <c r="F120" s="421"/>
      <c r="G120" s="421"/>
      <c r="H120" s="421"/>
      <c r="I120" s="421"/>
      <c r="J120" s="224"/>
      <c r="K120" s="225"/>
    </row>
    <row r="121" spans="1:10" s="225" customFormat="1" ht="12.75">
      <c r="A121" s="222"/>
      <c r="B121" s="222"/>
      <c r="C121" s="222"/>
      <c r="D121" s="223"/>
      <c r="E121" s="223"/>
      <c r="F121" s="223"/>
      <c r="G121" s="223"/>
      <c r="H121" s="223"/>
      <c r="I121" s="383"/>
      <c r="J121" s="224"/>
    </row>
    <row r="122" spans="4:11" s="222" customFormat="1" ht="12.75">
      <c r="D122" s="223"/>
      <c r="E122" s="223"/>
      <c r="F122" s="223"/>
      <c r="G122" s="223"/>
      <c r="H122" s="223"/>
      <c r="I122" s="383"/>
      <c r="J122" s="224"/>
      <c r="K122" s="225"/>
    </row>
  </sheetData>
  <sheetProtection/>
  <mergeCells count="20">
    <mergeCell ref="A120:I120"/>
    <mergeCell ref="A84:C84"/>
    <mergeCell ref="A88:C88"/>
    <mergeCell ref="A92:C92"/>
    <mergeCell ref="A95:C95"/>
    <mergeCell ref="A109:I109"/>
    <mergeCell ref="J18:J22"/>
    <mergeCell ref="A108:I108"/>
    <mergeCell ref="A5:J5"/>
    <mergeCell ref="A6:J6"/>
    <mergeCell ref="A12:A13"/>
    <mergeCell ref="A7:J7"/>
    <mergeCell ref="A47:C47"/>
    <mergeCell ref="A67:C67"/>
    <mergeCell ref="A78:C78"/>
    <mergeCell ref="A87:C87"/>
    <mergeCell ref="E104:F104"/>
    <mergeCell ref="E105:F105"/>
    <mergeCell ref="A18:H18"/>
    <mergeCell ref="I18:I22"/>
  </mergeCells>
  <printOptions/>
  <pageMargins left="0.73" right="0.2362204724409449" top="0.7480314960629921" bottom="0.7874015748031497" header="0" footer="0"/>
  <pageSetup horizontalDpi="600" verticalDpi="600" orientation="portrait" scale="78" r:id="rId2"/>
  <rowBreaks count="2" manualBreakCount="2">
    <brk id="55" max="10" man="1"/>
    <brk id="8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03">
      <selection activeCell="M30" sqref="M30"/>
    </sheetView>
  </sheetViews>
  <sheetFormatPr defaultColWidth="11.00390625" defaultRowHeight="12.75"/>
  <cols>
    <col min="1" max="1" width="14.140625" style="1" customWidth="1"/>
    <col min="2" max="2" width="12.8515625" style="1" customWidth="1"/>
    <col min="3" max="3" width="8.8515625" style="1" customWidth="1"/>
    <col min="4" max="4" width="3.421875" style="1" customWidth="1"/>
    <col min="5" max="5" width="7.57421875" style="1" customWidth="1"/>
    <col min="6" max="6" width="8.7109375" style="1" customWidth="1"/>
    <col min="7" max="7" width="9.140625" style="2" customWidth="1"/>
    <col min="8" max="8" width="10.7109375" style="1" customWidth="1"/>
    <col min="9" max="9" width="10.8515625" style="1" customWidth="1"/>
    <col min="10" max="10" width="9.28125" style="1" customWidth="1"/>
    <col min="11" max="11" width="10.57421875" style="11" customWidth="1"/>
    <col min="12" max="12" width="15.421875" style="158" customWidth="1"/>
    <col min="13" max="16384" width="11.00390625" style="1" customWidth="1"/>
  </cols>
  <sheetData>
    <row r="1" spans="1:11" ht="45" customHeight="1">
      <c r="A1" s="424" t="s">
        <v>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3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21"/>
      <c r="B3" s="21"/>
      <c r="C3" s="22"/>
      <c r="D3" s="22"/>
      <c r="E3" s="22"/>
      <c r="F3" s="22"/>
      <c r="G3" s="23"/>
      <c r="H3" s="24"/>
      <c r="I3" s="24"/>
      <c r="J3" s="24"/>
      <c r="K3" s="25"/>
    </row>
    <row r="4" spans="1:11" ht="12.75">
      <c r="A4" s="26" t="s">
        <v>0</v>
      </c>
      <c r="B4" s="27" t="s">
        <v>1</v>
      </c>
      <c r="C4" s="28"/>
      <c r="D4" s="28"/>
      <c r="E4" s="28"/>
      <c r="F4" s="28"/>
      <c r="G4" s="15"/>
      <c r="H4" s="14"/>
      <c r="I4" s="14"/>
      <c r="J4" s="14"/>
      <c r="K4" s="29"/>
    </row>
    <row r="5" spans="1:11" ht="12.75">
      <c r="A5" s="26" t="s">
        <v>2</v>
      </c>
      <c r="B5" s="27" t="s">
        <v>75</v>
      </c>
      <c r="C5" s="28"/>
      <c r="D5" s="28"/>
      <c r="E5" s="28"/>
      <c r="F5" s="28"/>
      <c r="G5" s="15"/>
      <c r="H5" s="14"/>
      <c r="I5" s="14"/>
      <c r="J5" s="14"/>
      <c r="K5" s="29"/>
    </row>
    <row r="6" spans="1:11" ht="15.75">
      <c r="A6" s="28"/>
      <c r="B6" s="28"/>
      <c r="C6" s="28"/>
      <c r="D6" s="28"/>
      <c r="E6" s="30"/>
      <c r="F6" s="31"/>
      <c r="G6" s="32" t="s">
        <v>3</v>
      </c>
      <c r="H6" s="31"/>
      <c r="I6" s="14" t="s">
        <v>72</v>
      </c>
      <c r="J6" s="14"/>
      <c r="K6" s="33" t="s">
        <v>4</v>
      </c>
    </row>
    <row r="7" spans="1:11" ht="12.75">
      <c r="A7" s="28"/>
      <c r="B7" s="28"/>
      <c r="C7" s="28"/>
      <c r="D7" s="28"/>
      <c r="E7" s="30" t="s">
        <v>5</v>
      </c>
      <c r="F7" s="31"/>
      <c r="G7" s="32" t="s">
        <v>6</v>
      </c>
      <c r="H7" s="31"/>
      <c r="I7" s="14" t="s">
        <v>72</v>
      </c>
      <c r="J7" s="14"/>
      <c r="K7" s="32" t="s">
        <v>7</v>
      </c>
    </row>
    <row r="8" spans="1:11" ht="12.75">
      <c r="A8" s="26" t="s">
        <v>8</v>
      </c>
      <c r="B8" s="26" t="s">
        <v>9</v>
      </c>
      <c r="C8" s="30" t="s">
        <v>10</v>
      </c>
      <c r="D8" s="28"/>
      <c r="E8" s="30" t="s">
        <v>10</v>
      </c>
      <c r="F8" s="31"/>
      <c r="G8" s="32" t="s">
        <v>11</v>
      </c>
      <c r="H8" s="31"/>
      <c r="I8" s="14" t="s">
        <v>72</v>
      </c>
      <c r="J8" s="14"/>
      <c r="K8" s="32" t="s">
        <v>69</v>
      </c>
    </row>
    <row r="9" spans="1:11" ht="12.75">
      <c r="A9" s="28"/>
      <c r="B9" s="34"/>
      <c r="C9" s="14"/>
      <c r="D9" s="28"/>
      <c r="E9" s="28"/>
      <c r="F9" s="31"/>
      <c r="G9" s="31"/>
      <c r="H9" s="31"/>
      <c r="I9" s="14"/>
      <c r="J9" s="14"/>
      <c r="K9" s="31"/>
    </row>
    <row r="10" spans="1:11" ht="12.75">
      <c r="A10" s="213" t="s">
        <v>12</v>
      </c>
      <c r="B10" s="214">
        <f>(110+115)/2</f>
        <v>112.5</v>
      </c>
      <c r="C10" s="215" t="s">
        <v>67</v>
      </c>
      <c r="D10" s="216"/>
      <c r="E10" s="217">
        <f>(I132/B10)</f>
        <v>219.65497685529118</v>
      </c>
      <c r="F10" s="31"/>
      <c r="G10" s="32" t="s">
        <v>13</v>
      </c>
      <c r="H10" s="31"/>
      <c r="I10" s="14" t="s">
        <v>72</v>
      </c>
      <c r="J10" s="14"/>
      <c r="K10" s="32" t="s">
        <v>14</v>
      </c>
    </row>
    <row r="11" spans="1:11" ht="12.75">
      <c r="A11" s="35"/>
      <c r="B11" s="36"/>
      <c r="C11" s="37"/>
      <c r="D11" s="28"/>
      <c r="E11" s="36"/>
      <c r="F11" s="31"/>
      <c r="G11" s="32" t="s">
        <v>15</v>
      </c>
      <c r="H11" s="31"/>
      <c r="I11" s="14" t="s">
        <v>72</v>
      </c>
      <c r="J11" s="14"/>
      <c r="K11" s="32" t="s">
        <v>16</v>
      </c>
    </row>
    <row r="12" spans="1:11" ht="12.75">
      <c r="A12" s="26"/>
      <c r="B12" s="36"/>
      <c r="C12" s="88"/>
      <c r="D12" s="28"/>
      <c r="E12" s="89"/>
      <c r="F12" s="38"/>
      <c r="G12" s="32" t="s">
        <v>17</v>
      </c>
      <c r="H12" s="31"/>
      <c r="I12" s="14" t="s">
        <v>72</v>
      </c>
      <c r="J12" s="14"/>
      <c r="K12" s="32" t="s">
        <v>18</v>
      </c>
    </row>
    <row r="13" spans="1:11" ht="12.75">
      <c r="A13" s="28"/>
      <c r="B13" s="36"/>
      <c r="C13" s="28"/>
      <c r="D13" s="28"/>
      <c r="E13" s="28"/>
      <c r="F13" s="31"/>
      <c r="G13" s="32" t="s">
        <v>19</v>
      </c>
      <c r="H13" s="31"/>
      <c r="I13" s="14" t="s">
        <v>72</v>
      </c>
      <c r="J13" s="14"/>
      <c r="K13" s="32" t="s">
        <v>20</v>
      </c>
    </row>
    <row r="14" spans="1:11" ht="15.75">
      <c r="A14" s="26" t="s">
        <v>21</v>
      </c>
      <c r="B14" s="39" t="s">
        <v>22</v>
      </c>
      <c r="C14" s="40" t="s">
        <v>73</v>
      </c>
      <c r="D14" s="41"/>
      <c r="E14" s="42" t="s">
        <v>84</v>
      </c>
      <c r="F14" s="31"/>
      <c r="G14" s="32" t="s">
        <v>23</v>
      </c>
      <c r="H14" s="31"/>
      <c r="I14" s="14" t="s">
        <v>72</v>
      </c>
      <c r="J14" s="14"/>
      <c r="K14" s="32" t="s">
        <v>24</v>
      </c>
    </row>
    <row r="15" spans="1:11" ht="12.75">
      <c r="A15" s="26" t="s">
        <v>25</v>
      </c>
      <c r="B15" s="43">
        <v>350</v>
      </c>
      <c r="C15" s="28"/>
      <c r="D15" s="28"/>
      <c r="E15" s="28"/>
      <c r="F15" s="31"/>
      <c r="G15" s="32" t="s">
        <v>26</v>
      </c>
      <c r="H15" s="31"/>
      <c r="I15" s="14" t="s">
        <v>72</v>
      </c>
      <c r="J15" s="14"/>
      <c r="K15" s="32" t="s">
        <v>27</v>
      </c>
    </row>
    <row r="16" spans="1:11" ht="9" customHeight="1" thickBot="1">
      <c r="A16" s="44"/>
      <c r="B16" s="44"/>
      <c r="C16" s="44"/>
      <c r="D16" s="44"/>
      <c r="E16" s="44"/>
      <c r="F16" s="44"/>
      <c r="G16" s="45"/>
      <c r="H16" s="44"/>
      <c r="I16" s="44"/>
      <c r="J16" s="14"/>
      <c r="K16" s="29"/>
    </row>
    <row r="17" spans="1:11" ht="17.25" customHeight="1">
      <c r="A17" s="432" t="s">
        <v>28</v>
      </c>
      <c r="B17" s="433"/>
      <c r="C17" s="433"/>
      <c r="D17" s="433"/>
      <c r="E17" s="433"/>
      <c r="F17" s="433"/>
      <c r="G17" s="433"/>
      <c r="H17" s="433"/>
      <c r="I17" s="434"/>
      <c r="J17" s="426" t="s">
        <v>70</v>
      </c>
      <c r="K17" s="429" t="s">
        <v>71</v>
      </c>
    </row>
    <row r="18" spans="1:11" ht="4.5" customHeight="1">
      <c r="A18" s="103"/>
      <c r="B18" s="104"/>
      <c r="C18" s="104"/>
      <c r="D18" s="104"/>
      <c r="E18" s="104"/>
      <c r="F18" s="104"/>
      <c r="G18" s="105"/>
      <c r="H18" s="104"/>
      <c r="I18" s="106"/>
      <c r="J18" s="427"/>
      <c r="K18" s="430"/>
    </row>
    <row r="19" spans="1:11" ht="9.75" customHeight="1">
      <c r="A19" s="107"/>
      <c r="B19" s="108"/>
      <c r="C19" s="109"/>
      <c r="D19" s="110"/>
      <c r="E19" s="111"/>
      <c r="F19" s="111"/>
      <c r="G19" s="111"/>
      <c r="H19" s="112" t="s">
        <v>29</v>
      </c>
      <c r="I19" s="113" t="s">
        <v>30</v>
      </c>
      <c r="J19" s="427"/>
      <c r="K19" s="430"/>
    </row>
    <row r="20" spans="1:11" ht="10.5" customHeight="1">
      <c r="A20" s="114" t="s">
        <v>31</v>
      </c>
      <c r="B20" s="108"/>
      <c r="C20" s="109"/>
      <c r="D20" s="110"/>
      <c r="E20" s="112" t="s">
        <v>32</v>
      </c>
      <c r="F20" s="112" t="s">
        <v>33</v>
      </c>
      <c r="G20" s="112" t="s">
        <v>34</v>
      </c>
      <c r="H20" s="112" t="s">
        <v>35</v>
      </c>
      <c r="I20" s="112" t="s">
        <v>36</v>
      </c>
      <c r="J20" s="427"/>
      <c r="K20" s="430"/>
    </row>
    <row r="21" spans="1:11" ht="9.75" customHeight="1" thickBot="1">
      <c r="A21" s="115"/>
      <c r="B21" s="116"/>
      <c r="C21" s="117"/>
      <c r="D21" s="116"/>
      <c r="E21" s="118"/>
      <c r="F21" s="118"/>
      <c r="G21" s="118"/>
      <c r="H21" s="118"/>
      <c r="I21" s="118"/>
      <c r="J21" s="428"/>
      <c r="K21" s="431"/>
    </row>
    <row r="22" spans="1:11" ht="12.75">
      <c r="A22" s="206" t="s">
        <v>37</v>
      </c>
      <c r="B22" s="198"/>
      <c r="C22" s="198"/>
      <c r="D22" s="207"/>
      <c r="E22" s="208"/>
      <c r="F22" s="199"/>
      <c r="G22" s="200"/>
      <c r="H22" s="201"/>
      <c r="I22" s="201"/>
      <c r="J22" s="53"/>
      <c r="K22" s="202"/>
    </row>
    <row r="23" spans="1:12" ht="12.75">
      <c r="A23" s="90" t="s">
        <v>89</v>
      </c>
      <c r="B23" s="91"/>
      <c r="C23" s="92"/>
      <c r="D23" s="93"/>
      <c r="E23" s="94"/>
      <c r="F23" s="95">
        <v>140</v>
      </c>
      <c r="G23" s="96" t="s">
        <v>90</v>
      </c>
      <c r="H23" s="97">
        <v>37.29</v>
      </c>
      <c r="I23" s="97">
        <f aca="true" t="shared" si="0" ref="I23:I32">IF(F23*H23,+F23*H23,"        ")</f>
        <v>5220.599999999999</v>
      </c>
      <c r="J23" s="98">
        <f aca="true" t="shared" si="1" ref="J23:J32">F23/B$10</f>
        <v>1.2444444444444445</v>
      </c>
      <c r="K23" s="99">
        <f aca="true" t="shared" si="2" ref="K23:K28">I23/I$132</f>
        <v>0.21126465695291388</v>
      </c>
      <c r="L23" s="159"/>
    </row>
    <row r="24" spans="1:11" ht="12.75">
      <c r="A24" s="90" t="s">
        <v>91</v>
      </c>
      <c r="B24" s="91"/>
      <c r="C24" s="91"/>
      <c r="D24" s="93"/>
      <c r="E24" s="100"/>
      <c r="F24" s="95">
        <v>0.7</v>
      </c>
      <c r="G24" s="96" t="s">
        <v>38</v>
      </c>
      <c r="H24" s="97">
        <v>850.6162633520835</v>
      </c>
      <c r="I24" s="97">
        <f>IF(F24*H24,+F24*H24,"        ")</f>
        <v>595.4313843464583</v>
      </c>
      <c r="J24" s="98">
        <f t="shared" si="1"/>
        <v>0.006222222222222222</v>
      </c>
      <c r="K24" s="99">
        <f t="shared" si="2"/>
        <v>0.024095622563106378</v>
      </c>
    </row>
    <row r="25" spans="1:11" ht="12.75">
      <c r="A25" s="90" t="s">
        <v>94</v>
      </c>
      <c r="B25" s="91"/>
      <c r="C25" s="91"/>
      <c r="D25" s="93"/>
      <c r="E25" s="100"/>
      <c r="F25" s="95">
        <f>+(17.5+26.25)/100</f>
        <v>0.4375</v>
      </c>
      <c r="G25" s="96" t="s">
        <v>38</v>
      </c>
      <c r="H25" s="97">
        <v>725.4861845125</v>
      </c>
      <c r="I25" s="97">
        <f t="shared" si="0"/>
        <v>317.4002057242188</v>
      </c>
      <c r="J25" s="98">
        <f t="shared" si="1"/>
        <v>0.0038888888888888888</v>
      </c>
      <c r="K25" s="99">
        <f t="shared" si="2"/>
        <v>0.012844394433419795</v>
      </c>
    </row>
    <row r="26" spans="1:11" ht="12.75">
      <c r="A26" s="147" t="s">
        <v>107</v>
      </c>
      <c r="B26" s="151"/>
      <c r="C26" s="151"/>
      <c r="D26" s="152"/>
      <c r="E26" s="155"/>
      <c r="F26" s="153">
        <f>163.33/100</f>
        <v>1.6333000000000002</v>
      </c>
      <c r="G26" s="154" t="s">
        <v>38</v>
      </c>
      <c r="H26" s="150">
        <v>750</v>
      </c>
      <c r="I26" s="150">
        <f>IF(F26*H26,+F26*H26,"        ")</f>
        <v>1224.9750000000001</v>
      </c>
      <c r="J26" s="98">
        <f t="shared" si="1"/>
        <v>0.014518222222222224</v>
      </c>
      <c r="K26" s="99">
        <f t="shared" si="2"/>
        <v>0.0495716820194797</v>
      </c>
    </row>
    <row r="27" spans="1:11" ht="12.75">
      <c r="A27" s="90" t="s">
        <v>135</v>
      </c>
      <c r="B27" s="91"/>
      <c r="C27" s="91"/>
      <c r="D27" s="93"/>
      <c r="E27" s="100"/>
      <c r="F27" s="95">
        <v>0.025</v>
      </c>
      <c r="G27" s="96" t="s">
        <v>39</v>
      </c>
      <c r="H27" s="97">
        <v>460</v>
      </c>
      <c r="I27" s="97">
        <f t="shared" si="0"/>
        <v>11.5</v>
      </c>
      <c r="J27" s="98">
        <f t="shared" si="1"/>
        <v>0.00022222222222222223</v>
      </c>
      <c r="K27" s="99">
        <f t="shared" si="2"/>
        <v>0.0004653763082707945</v>
      </c>
    </row>
    <row r="28" spans="1:12" ht="12.75">
      <c r="A28" s="90" t="s">
        <v>95</v>
      </c>
      <c r="B28" s="91"/>
      <c r="C28" s="91"/>
      <c r="D28" s="93"/>
      <c r="E28" s="101"/>
      <c r="F28" s="95">
        <v>0.3125</v>
      </c>
      <c r="G28" s="96" t="s">
        <v>39</v>
      </c>
      <c r="H28" s="97">
        <v>394.7441997083334</v>
      </c>
      <c r="I28" s="97">
        <f t="shared" si="0"/>
        <v>123.35756240885418</v>
      </c>
      <c r="J28" s="98">
        <f t="shared" si="1"/>
        <v>0.002777777777777778</v>
      </c>
      <c r="K28" s="99">
        <f t="shared" si="2"/>
        <v>0.0049919727818362345</v>
      </c>
      <c r="L28" s="160"/>
    </row>
    <row r="29" spans="1:12" ht="12.75">
      <c r="A29" s="90" t="s">
        <v>134</v>
      </c>
      <c r="B29" s="91"/>
      <c r="C29" s="91"/>
      <c r="D29" s="93"/>
      <c r="E29" s="101"/>
      <c r="F29" s="95">
        <v>0.3125</v>
      </c>
      <c r="G29" s="96" t="s">
        <v>39</v>
      </c>
      <c r="H29" s="97"/>
      <c r="I29" s="97"/>
      <c r="J29" s="98"/>
      <c r="K29" s="99"/>
      <c r="L29" s="160"/>
    </row>
    <row r="30" spans="1:12" ht="12.75">
      <c r="A30" s="55" t="s">
        <v>136</v>
      </c>
      <c r="B30" s="47"/>
      <c r="C30" s="47"/>
      <c r="D30" s="48"/>
      <c r="E30" s="49"/>
      <c r="F30" s="50">
        <v>3</v>
      </c>
      <c r="G30" s="57" t="s">
        <v>108</v>
      </c>
      <c r="H30" s="52">
        <v>209.9</v>
      </c>
      <c r="I30" s="52">
        <f t="shared" si="0"/>
        <v>629.7</v>
      </c>
      <c r="J30" s="58">
        <f t="shared" si="1"/>
        <v>0.02666666666666667</v>
      </c>
      <c r="K30" s="54">
        <f>I30/I$132</f>
        <v>0.02548238794070603</v>
      </c>
      <c r="L30" s="160"/>
    </row>
    <row r="31" spans="1:12" ht="12.75">
      <c r="A31" s="55" t="s">
        <v>96</v>
      </c>
      <c r="B31" s="47"/>
      <c r="C31" s="47"/>
      <c r="D31" s="48"/>
      <c r="E31" s="49"/>
      <c r="F31" s="50">
        <v>1</v>
      </c>
      <c r="G31" s="57" t="s">
        <v>40</v>
      </c>
      <c r="H31" s="52">
        <v>100</v>
      </c>
      <c r="I31" s="52">
        <f t="shared" si="0"/>
        <v>100</v>
      </c>
      <c r="J31" s="58">
        <f t="shared" si="1"/>
        <v>0.008888888888888889</v>
      </c>
      <c r="K31" s="54">
        <f>I31/I$132</f>
        <v>0.004046750506702561</v>
      </c>
      <c r="L31" s="160"/>
    </row>
    <row r="32" spans="1:11" ht="12.75">
      <c r="A32" s="55" t="s">
        <v>97</v>
      </c>
      <c r="B32" s="47"/>
      <c r="C32" s="47"/>
      <c r="D32" s="48"/>
      <c r="E32" s="49"/>
      <c r="F32" s="50">
        <v>1</v>
      </c>
      <c r="G32" s="57" t="s">
        <v>40</v>
      </c>
      <c r="H32" s="52">
        <v>67.02</v>
      </c>
      <c r="I32" s="52">
        <f t="shared" si="0"/>
        <v>67.02</v>
      </c>
      <c r="J32" s="58">
        <f t="shared" si="1"/>
        <v>0.008888888888888889</v>
      </c>
      <c r="K32" s="54">
        <f>I32/I$132</f>
        <v>0.0027121321895920564</v>
      </c>
    </row>
    <row r="33" spans="1:12" ht="4.5" customHeight="1">
      <c r="A33" s="61"/>
      <c r="B33" s="47"/>
      <c r="C33" s="47"/>
      <c r="D33" s="48"/>
      <c r="E33" s="49"/>
      <c r="F33" s="50"/>
      <c r="G33" s="51"/>
      <c r="H33" s="52"/>
      <c r="I33" s="52"/>
      <c r="J33" s="58"/>
      <c r="K33" s="54"/>
      <c r="L33" s="160"/>
    </row>
    <row r="34" spans="1:11" ht="12.75">
      <c r="A34" s="46" t="s">
        <v>41</v>
      </c>
      <c r="B34" s="47"/>
      <c r="C34" s="47"/>
      <c r="D34" s="48"/>
      <c r="E34" s="49"/>
      <c r="F34" s="50"/>
      <c r="G34" s="51"/>
      <c r="H34" s="52"/>
      <c r="I34" s="52"/>
      <c r="J34" s="58"/>
      <c r="K34" s="54"/>
    </row>
    <row r="35" spans="1:11" ht="16.5" customHeight="1">
      <c r="A35" s="55" t="s">
        <v>92</v>
      </c>
      <c r="B35" s="47"/>
      <c r="C35" s="47"/>
      <c r="D35" s="48"/>
      <c r="E35" s="49"/>
      <c r="F35" s="50">
        <v>1</v>
      </c>
      <c r="G35" s="57" t="s">
        <v>40</v>
      </c>
      <c r="H35" s="52">
        <v>300</v>
      </c>
      <c r="I35" s="52">
        <f>IF(F35*H35,+F35*H35,"        ")</f>
        <v>300</v>
      </c>
      <c r="J35" s="58">
        <f>F35/B$10</f>
        <v>0.008888888888888889</v>
      </c>
      <c r="K35" s="54">
        <f>I35/I$132</f>
        <v>0.012140251520107684</v>
      </c>
    </row>
    <row r="36" spans="1:12" ht="12.75">
      <c r="A36" s="55" t="s">
        <v>93</v>
      </c>
      <c r="B36" s="47"/>
      <c r="C36" s="47"/>
      <c r="D36" s="48"/>
      <c r="E36" s="49"/>
      <c r="F36" s="50">
        <v>1</v>
      </c>
      <c r="G36" s="57" t="s">
        <v>40</v>
      </c>
      <c r="H36" s="52">
        <v>250</v>
      </c>
      <c r="I36" s="52">
        <f>IF(F36*H36,+F36*H36,"        ")</f>
        <v>250</v>
      </c>
      <c r="J36" s="58">
        <f>F36/B$10</f>
        <v>0.008888888888888889</v>
      </c>
      <c r="K36" s="54">
        <f>I36/I$132</f>
        <v>0.010116876266756404</v>
      </c>
      <c r="L36" s="160"/>
    </row>
    <row r="37" spans="1:12" ht="12.75">
      <c r="A37" s="55" t="s">
        <v>98</v>
      </c>
      <c r="B37" s="47"/>
      <c r="C37" s="47"/>
      <c r="D37" s="48"/>
      <c r="E37" s="49"/>
      <c r="F37" s="50">
        <v>1</v>
      </c>
      <c r="G37" s="57" t="s">
        <v>40</v>
      </c>
      <c r="H37" s="52">
        <v>400</v>
      </c>
      <c r="I37" s="52"/>
      <c r="J37" s="58"/>
      <c r="K37" s="54"/>
      <c r="L37" s="164">
        <v>500</v>
      </c>
    </row>
    <row r="38" spans="1:12" ht="12.75">
      <c r="A38" s="55" t="s">
        <v>99</v>
      </c>
      <c r="B38" s="47"/>
      <c r="C38" s="56"/>
      <c r="D38" s="48"/>
      <c r="E38" s="49"/>
      <c r="F38" s="50">
        <v>1</v>
      </c>
      <c r="G38" s="57" t="s">
        <v>40</v>
      </c>
      <c r="H38" s="52">
        <v>200</v>
      </c>
      <c r="I38" s="52">
        <f>IF(F38*H38,+F38*H38,"        ")</f>
        <v>200</v>
      </c>
      <c r="J38" s="58">
        <f>F38/B$10</f>
        <v>0.008888888888888889</v>
      </c>
      <c r="K38" s="54">
        <f>I38/I$132</f>
        <v>0.008093501013405122</v>
      </c>
      <c r="L38" s="160"/>
    </row>
    <row r="39" spans="1:11" ht="12.75">
      <c r="A39" s="55" t="s">
        <v>100</v>
      </c>
      <c r="B39" s="47"/>
      <c r="C39" s="47"/>
      <c r="D39" s="48"/>
      <c r="E39" s="49"/>
      <c r="F39" s="50">
        <v>1</v>
      </c>
      <c r="G39" s="57" t="s">
        <v>40</v>
      </c>
      <c r="H39" s="52">
        <v>2500</v>
      </c>
      <c r="I39" s="52">
        <f>IF(F39*H39,+F39*H39,"        ")</f>
        <v>2500</v>
      </c>
      <c r="J39" s="58">
        <f>F39/B$10</f>
        <v>0.008888888888888889</v>
      </c>
      <c r="K39" s="54">
        <f>I39/I$132</f>
        <v>0.10116876266756403</v>
      </c>
    </row>
    <row r="40" spans="1:12" ht="12.75">
      <c r="A40" s="55" t="s">
        <v>42</v>
      </c>
      <c r="B40" s="47"/>
      <c r="C40" s="47"/>
      <c r="D40" s="48"/>
      <c r="E40" s="49"/>
      <c r="F40" s="50">
        <v>1</v>
      </c>
      <c r="G40" s="57" t="s">
        <v>40</v>
      </c>
      <c r="H40" s="52">
        <v>200</v>
      </c>
      <c r="I40" s="52">
        <f>IF(F40*H40,+F40*H40,"        ")</f>
        <v>200</v>
      </c>
      <c r="J40" s="58">
        <f>F40/B$10</f>
        <v>0.008888888888888889</v>
      </c>
      <c r="K40" s="54">
        <f>I40/I$132</f>
        <v>0.008093501013405122</v>
      </c>
      <c r="L40" s="160"/>
    </row>
    <row r="41" spans="1:11" ht="12.75">
      <c r="A41" s="55" t="s">
        <v>43</v>
      </c>
      <c r="B41" s="47"/>
      <c r="C41" s="56"/>
      <c r="D41" s="48"/>
      <c r="E41" s="49"/>
      <c r="F41" s="50">
        <v>0.13</v>
      </c>
      <c r="G41" s="57" t="s">
        <v>44</v>
      </c>
      <c r="H41" s="52">
        <v>300</v>
      </c>
      <c r="I41" s="52">
        <f>IF(F41*H41,+F41*H41,"        ")</f>
        <v>39</v>
      </c>
      <c r="J41" s="58">
        <f>F41/B$10</f>
        <v>0.0011555555555555555</v>
      </c>
      <c r="K41" s="54">
        <f>I41/I$132</f>
        <v>0.0015782326976139988</v>
      </c>
    </row>
    <row r="42" spans="1:11" ht="4.5" customHeight="1">
      <c r="A42" s="55"/>
      <c r="B42" s="47"/>
      <c r="C42" s="56"/>
      <c r="D42" s="48"/>
      <c r="E42" s="49"/>
      <c r="F42" s="50"/>
      <c r="G42" s="57"/>
      <c r="H42" s="52"/>
      <c r="I42" s="52"/>
      <c r="J42" s="58"/>
      <c r="K42" s="54"/>
    </row>
    <row r="43" spans="1:11" ht="12.75">
      <c r="A43" s="55" t="s">
        <v>45</v>
      </c>
      <c r="B43" s="47"/>
      <c r="C43" s="47"/>
      <c r="D43" s="48"/>
      <c r="E43" s="49"/>
      <c r="F43" s="50"/>
      <c r="G43" s="51"/>
      <c r="H43" s="52"/>
      <c r="I43" s="52"/>
      <c r="J43" s="58"/>
      <c r="K43" s="54"/>
    </row>
    <row r="44" spans="1:11" ht="12.75">
      <c r="A44" s="55" t="s">
        <v>109</v>
      </c>
      <c r="B44" s="47"/>
      <c r="C44" s="47"/>
      <c r="D44" s="48"/>
      <c r="E44" s="57" t="s">
        <v>46</v>
      </c>
      <c r="F44" s="203">
        <v>0.9717</v>
      </c>
      <c r="G44" s="57" t="s">
        <v>44</v>
      </c>
      <c r="H44" s="204">
        <v>300</v>
      </c>
      <c r="I44" s="52">
        <f>IF(F44*H44,+F44*H44,"        ")</f>
        <v>291.51</v>
      </c>
      <c r="J44" s="205">
        <f>F44/B$10</f>
        <v>0.008637333333333334</v>
      </c>
      <c r="K44" s="210">
        <f>I44/I$132</f>
        <v>0.011796682402088636</v>
      </c>
    </row>
    <row r="45" spans="1:11" ht="12.75">
      <c r="A45" s="55" t="s">
        <v>111</v>
      </c>
      <c r="B45" s="47"/>
      <c r="C45" s="47"/>
      <c r="D45" s="48"/>
      <c r="E45" s="49"/>
      <c r="F45" s="203"/>
      <c r="G45" s="51"/>
      <c r="H45" s="204"/>
      <c r="I45" s="52"/>
      <c r="J45" s="205"/>
      <c r="K45" s="210"/>
    </row>
    <row r="46" spans="1:11" ht="12.75">
      <c r="A46" s="55" t="s">
        <v>113</v>
      </c>
      <c r="B46" s="47"/>
      <c r="C46" s="47"/>
      <c r="D46" s="48"/>
      <c r="E46" s="49"/>
      <c r="F46" s="203">
        <f>0.125*2</f>
        <v>0.25</v>
      </c>
      <c r="G46" s="57" t="s">
        <v>44</v>
      </c>
      <c r="H46" s="204">
        <f>+$B$15</f>
        <v>350</v>
      </c>
      <c r="I46" s="52">
        <f>IF(F46*H46,+F46*H46,"        ")</f>
        <v>87.5</v>
      </c>
      <c r="J46" s="205">
        <f>F46/B$10</f>
        <v>0.0022222222222222222</v>
      </c>
      <c r="K46" s="210">
        <f>I46/I$132</f>
        <v>0.003540906693364741</v>
      </c>
    </row>
    <row r="47" spans="1:11" ht="12.75">
      <c r="A47" s="55" t="s">
        <v>130</v>
      </c>
      <c r="B47" s="47"/>
      <c r="C47" s="47"/>
      <c r="D47" s="48"/>
      <c r="E47" s="49"/>
      <c r="F47" s="203">
        <f>0.1*2</f>
        <v>0.2</v>
      </c>
      <c r="G47" s="57" t="s">
        <v>44</v>
      </c>
      <c r="H47" s="204">
        <f>+$B$15</f>
        <v>350</v>
      </c>
      <c r="I47" s="52">
        <f>IF(F47*H47,+F47*H47,"        ")</f>
        <v>70</v>
      </c>
      <c r="J47" s="205">
        <f>F47/B$10</f>
        <v>0.0017777777777777779</v>
      </c>
      <c r="K47" s="210">
        <f>I47/I$132</f>
        <v>0.0028327253546917928</v>
      </c>
    </row>
    <row r="48" spans="1:11" ht="12.75">
      <c r="A48" s="55"/>
      <c r="B48" s="47"/>
      <c r="C48" s="47"/>
      <c r="D48" s="48"/>
      <c r="E48" s="49"/>
      <c r="F48" s="209"/>
      <c r="G48" s="57"/>
      <c r="H48" s="52"/>
      <c r="I48" s="52"/>
      <c r="J48" s="58"/>
      <c r="K48" s="54"/>
    </row>
    <row r="49" spans="1:11" ht="12.75">
      <c r="A49" s="55" t="s">
        <v>110</v>
      </c>
      <c r="B49" s="47"/>
      <c r="C49" s="47"/>
      <c r="D49" s="48"/>
      <c r="E49" s="57" t="s">
        <v>47</v>
      </c>
      <c r="F49" s="209">
        <v>0.0267</v>
      </c>
      <c r="G49" s="57" t="s">
        <v>44</v>
      </c>
      <c r="H49" s="52">
        <v>300</v>
      </c>
      <c r="I49" s="52">
        <f>IF(F49*H49,+F49*H49,"        ")</f>
        <v>8.01</v>
      </c>
      <c r="J49" s="58">
        <f>F49/B$10</f>
        <v>0.00023733333333333335</v>
      </c>
      <c r="K49" s="54">
        <f>I49/I$132</f>
        <v>0.00032414471558687513</v>
      </c>
    </row>
    <row r="50" spans="1:11" ht="12.75">
      <c r="A50" s="55" t="s">
        <v>131</v>
      </c>
      <c r="B50" s="47"/>
      <c r="C50" s="47"/>
      <c r="D50" s="48"/>
      <c r="E50" s="49"/>
      <c r="F50" s="209">
        <f>0.1*2</f>
        <v>0.2</v>
      </c>
      <c r="G50" s="57" t="s">
        <v>44</v>
      </c>
      <c r="H50" s="52">
        <f>+$B$15</f>
        <v>350</v>
      </c>
      <c r="I50" s="52">
        <f>IF(F50*H50,+F50*H50,"        ")</f>
        <v>70</v>
      </c>
      <c r="J50" s="58">
        <f>F50/B$10</f>
        <v>0.0017777777777777779</v>
      </c>
      <c r="K50" s="54">
        <f>I50/I$132</f>
        <v>0.0028327253546917928</v>
      </c>
    </row>
    <row r="51" spans="1:11" ht="12.75">
      <c r="A51" s="55" t="s">
        <v>48</v>
      </c>
      <c r="B51" s="47"/>
      <c r="C51" s="47"/>
      <c r="D51" s="48"/>
      <c r="E51" s="49"/>
      <c r="F51" s="209"/>
      <c r="G51" s="51"/>
      <c r="H51" s="52"/>
      <c r="I51" s="52"/>
      <c r="J51" s="58"/>
      <c r="K51" s="54"/>
    </row>
    <row r="52" spans="1:11" ht="12.75">
      <c r="A52" s="55" t="s">
        <v>112</v>
      </c>
      <c r="B52" s="47"/>
      <c r="C52" s="47"/>
      <c r="D52" s="48"/>
      <c r="E52" s="49"/>
      <c r="F52" s="209">
        <f>0.125</f>
        <v>0.125</v>
      </c>
      <c r="G52" s="57" t="s">
        <v>44</v>
      </c>
      <c r="H52" s="52">
        <f>+$B$15</f>
        <v>350</v>
      </c>
      <c r="I52" s="52">
        <f>IF(F52*H52,+F52*H52,"        ")</f>
        <v>43.75</v>
      </c>
      <c r="J52" s="58">
        <f>F52/B$10</f>
        <v>0.0011111111111111111</v>
      </c>
      <c r="K52" s="54">
        <f>I52/I$132</f>
        <v>0.0017704533466823705</v>
      </c>
    </row>
    <row r="53" spans="1:11" ht="12.75">
      <c r="A53" s="55" t="s">
        <v>115</v>
      </c>
      <c r="B53" s="47"/>
      <c r="C53" s="47"/>
      <c r="D53" s="48"/>
      <c r="E53" s="49"/>
      <c r="F53" s="209">
        <v>0.1667</v>
      </c>
      <c r="G53" s="57" t="s">
        <v>44</v>
      </c>
      <c r="H53" s="52">
        <f>+$B$15</f>
        <v>350</v>
      </c>
      <c r="I53" s="52">
        <f>IF(F53*H53,+F53*H53,"        ")</f>
        <v>58.345</v>
      </c>
      <c r="J53" s="58">
        <f>F53/B$10</f>
        <v>0.0014817777777777776</v>
      </c>
      <c r="K53" s="54">
        <f>I53/I$132</f>
        <v>0.0023610765831356094</v>
      </c>
    </row>
    <row r="54" spans="1:11" ht="12.75">
      <c r="A54" s="61" t="s">
        <v>116</v>
      </c>
      <c r="B54" s="47"/>
      <c r="C54" s="47"/>
      <c r="D54" s="48"/>
      <c r="E54" s="49"/>
      <c r="F54" s="209">
        <v>0.5</v>
      </c>
      <c r="G54" s="51" t="s">
        <v>44</v>
      </c>
      <c r="H54" s="52">
        <v>350</v>
      </c>
      <c r="I54" s="52">
        <v>175</v>
      </c>
      <c r="J54" s="58">
        <v>0.0044444444444444444</v>
      </c>
      <c r="K54" s="54">
        <v>0.009314237357190391</v>
      </c>
    </row>
    <row r="55" spans="1:11" ht="12.75">
      <c r="A55" s="61"/>
      <c r="B55" s="47"/>
      <c r="C55" s="47"/>
      <c r="D55" s="48"/>
      <c r="E55" s="49"/>
      <c r="F55" s="209"/>
      <c r="G55" s="51"/>
      <c r="H55" s="52"/>
      <c r="I55" s="52"/>
      <c r="J55" s="58"/>
      <c r="K55" s="54"/>
    </row>
    <row r="56" spans="1:11" ht="12.75">
      <c r="A56" s="55" t="s">
        <v>132</v>
      </c>
      <c r="B56" s="47"/>
      <c r="C56" s="47"/>
      <c r="D56" s="48"/>
      <c r="E56" s="57" t="s">
        <v>50</v>
      </c>
      <c r="F56" s="209">
        <f>0.1*3</f>
        <v>0.30000000000000004</v>
      </c>
      <c r="G56" s="57" t="s">
        <v>44</v>
      </c>
      <c r="H56" s="52">
        <f>+$B$15</f>
        <v>350</v>
      </c>
      <c r="I56" s="52">
        <f>IF(F56*H56,+F56*H56,"        ")</f>
        <v>105.00000000000001</v>
      </c>
      <c r="J56" s="58">
        <f>F56/B$10</f>
        <v>0.002666666666666667</v>
      </c>
      <c r="K56" s="54">
        <f>I56/I$132</f>
        <v>0.00424908803203769</v>
      </c>
    </row>
    <row r="57" spans="1:11" ht="12.75">
      <c r="A57" s="55" t="s">
        <v>49</v>
      </c>
      <c r="B57" s="47"/>
      <c r="C57" s="47"/>
      <c r="D57" s="48"/>
      <c r="E57" s="49"/>
      <c r="F57" s="209">
        <v>0.5</v>
      </c>
      <c r="G57" s="57" t="s">
        <v>44</v>
      </c>
      <c r="H57" s="52">
        <f>+$B$15</f>
        <v>350</v>
      </c>
      <c r="I57" s="52">
        <f>IF(F57*H57,+F57*H57,"        ")</f>
        <v>175</v>
      </c>
      <c r="J57" s="58">
        <f>F57/B$10</f>
        <v>0.0044444444444444444</v>
      </c>
      <c r="K57" s="54">
        <f>I57/I$132</f>
        <v>0.007081813386729482</v>
      </c>
    </row>
    <row r="58" spans="1:11" ht="12.75">
      <c r="A58" s="55" t="s">
        <v>114</v>
      </c>
      <c r="B58" s="47"/>
      <c r="C58" s="47"/>
      <c r="D58" s="48"/>
      <c r="E58" s="49"/>
      <c r="F58" s="209"/>
      <c r="G58" s="51"/>
      <c r="H58" s="52"/>
      <c r="I58" s="52"/>
      <c r="J58" s="58"/>
      <c r="K58" s="54"/>
    </row>
    <row r="59" spans="1:11" ht="12.75">
      <c r="A59" s="55" t="s">
        <v>112</v>
      </c>
      <c r="B59" s="47"/>
      <c r="C59" s="47"/>
      <c r="D59" s="48"/>
      <c r="E59" s="49"/>
      <c r="F59" s="209">
        <f>0.125</f>
        <v>0.125</v>
      </c>
      <c r="G59" s="57" t="s">
        <v>44</v>
      </c>
      <c r="H59" s="52">
        <f>+$B$15</f>
        <v>350</v>
      </c>
      <c r="I59" s="52">
        <f>IF(F59*H59,+F59*H59,"        ")</f>
        <v>43.75</v>
      </c>
      <c r="J59" s="58">
        <f>F59/B$10</f>
        <v>0.0011111111111111111</v>
      </c>
      <c r="K59" s="54">
        <f>I59/I$132</f>
        <v>0.0017704533466823705</v>
      </c>
    </row>
    <row r="60" spans="1:11" ht="12.75">
      <c r="A60" s="55" t="s">
        <v>115</v>
      </c>
      <c r="B60" s="47"/>
      <c r="C60" s="47"/>
      <c r="D60" s="48"/>
      <c r="E60" s="49"/>
      <c r="F60" s="209">
        <v>0.1667</v>
      </c>
      <c r="G60" s="57" t="s">
        <v>44</v>
      </c>
      <c r="H60" s="52">
        <f>+$B$15</f>
        <v>350</v>
      </c>
      <c r="I60" s="52">
        <f>IF(F60*H60,+F60*H60,"        ")</f>
        <v>58.345</v>
      </c>
      <c r="J60" s="58">
        <f>F60/B$10</f>
        <v>0.0014817777777777776</v>
      </c>
      <c r="K60" s="54">
        <f>I60/I$132</f>
        <v>0.0023610765831356094</v>
      </c>
    </row>
    <row r="61" spans="1:11" ht="12.75">
      <c r="A61" s="55"/>
      <c r="B61" s="47"/>
      <c r="C61" s="47"/>
      <c r="D61" s="48"/>
      <c r="E61" s="49"/>
      <c r="F61" s="209"/>
      <c r="G61" s="57"/>
      <c r="H61" s="52"/>
      <c r="I61" s="52"/>
      <c r="J61" s="58"/>
      <c r="K61" s="54"/>
    </row>
    <row r="62" spans="1:11" ht="12.75">
      <c r="A62" s="61" t="s">
        <v>132</v>
      </c>
      <c r="B62" s="47"/>
      <c r="C62" s="47"/>
      <c r="D62" s="48"/>
      <c r="E62" s="51" t="s">
        <v>51</v>
      </c>
      <c r="F62" s="50">
        <f>0.1*3</f>
        <v>0.30000000000000004</v>
      </c>
      <c r="G62" s="51" t="s">
        <v>44</v>
      </c>
      <c r="H62" s="52">
        <v>350</v>
      </c>
      <c r="I62" s="49">
        <v>140</v>
      </c>
      <c r="J62" s="58">
        <v>0.0035555555555555557</v>
      </c>
      <c r="K62" s="54">
        <v>0.0074124429554341025</v>
      </c>
    </row>
    <row r="63" spans="1:11" ht="12.75">
      <c r="A63" s="61" t="s">
        <v>115</v>
      </c>
      <c r="B63" s="47"/>
      <c r="C63" s="47"/>
      <c r="D63" s="48"/>
      <c r="E63" s="51"/>
      <c r="F63" s="50">
        <v>0.1667</v>
      </c>
      <c r="G63" s="51" t="s">
        <v>44</v>
      </c>
      <c r="H63" s="52">
        <v>350</v>
      </c>
      <c r="I63" s="49">
        <v>142.1875</v>
      </c>
      <c r="J63" s="58">
        <v>0.003611111111111111</v>
      </c>
      <c r="K63" s="54">
        <v>0.007402337100188525</v>
      </c>
    </row>
    <row r="64" spans="1:11" ht="12.75">
      <c r="A64" s="55" t="s">
        <v>116</v>
      </c>
      <c r="B64" s="47"/>
      <c r="C64" s="47"/>
      <c r="D64" s="48"/>
      <c r="E64" s="49"/>
      <c r="F64" s="50">
        <v>0.5</v>
      </c>
      <c r="G64" s="57" t="s">
        <v>44</v>
      </c>
      <c r="H64" s="52">
        <f>+$B$15</f>
        <v>350</v>
      </c>
      <c r="I64" s="52">
        <f>IF(F64*H64,+F64*H64,"        ")</f>
        <v>175</v>
      </c>
      <c r="J64" s="58">
        <f>F64/B$10</f>
        <v>0.0044444444444444444</v>
      </c>
      <c r="K64" s="54">
        <f>I64/I$132</f>
        <v>0.007081813386729482</v>
      </c>
    </row>
    <row r="65" spans="1:11" ht="12.75">
      <c r="A65" s="55"/>
      <c r="B65" s="47"/>
      <c r="C65" s="47"/>
      <c r="D65" s="48"/>
      <c r="E65" s="49"/>
      <c r="F65" s="50"/>
      <c r="G65" s="57"/>
      <c r="H65" s="52"/>
      <c r="I65" s="52"/>
      <c r="J65" s="58"/>
      <c r="K65" s="54"/>
    </row>
    <row r="66" spans="1:11" ht="12.75">
      <c r="A66" s="165" t="s">
        <v>133</v>
      </c>
      <c r="B66" s="47"/>
      <c r="C66" s="47"/>
      <c r="D66" s="48"/>
      <c r="E66" s="166" t="s">
        <v>52</v>
      </c>
      <c r="F66" s="95">
        <f>0.1*3</f>
        <v>0.30000000000000004</v>
      </c>
      <c r="G66" s="166" t="s">
        <v>44</v>
      </c>
      <c r="H66" s="97">
        <v>350</v>
      </c>
      <c r="I66" s="100">
        <v>140</v>
      </c>
      <c r="J66" s="98">
        <v>0.0035555555555555557</v>
      </c>
      <c r="K66" s="99">
        <v>0.0074124429554341025</v>
      </c>
    </row>
    <row r="67" spans="1:11" ht="12.75">
      <c r="A67" s="165" t="s">
        <v>117</v>
      </c>
      <c r="B67" s="47"/>
      <c r="C67" s="47"/>
      <c r="D67" s="48"/>
      <c r="E67" s="100"/>
      <c r="F67" s="95">
        <v>0.1</v>
      </c>
      <c r="G67" s="96" t="s">
        <v>44</v>
      </c>
      <c r="H67" s="97">
        <v>350</v>
      </c>
      <c r="I67" s="97">
        <f>IF(F67*H67,+F67*H67,"        ")</f>
        <v>35</v>
      </c>
      <c r="J67" s="98"/>
      <c r="K67" s="99"/>
    </row>
    <row r="68" spans="1:11" ht="12.75">
      <c r="A68" s="90" t="s">
        <v>118</v>
      </c>
      <c r="B68" s="47"/>
      <c r="C68" s="47"/>
      <c r="D68" s="48"/>
      <c r="E68" s="100"/>
      <c r="F68" s="95">
        <v>0.5</v>
      </c>
      <c r="G68" s="96" t="s">
        <v>44</v>
      </c>
      <c r="H68" s="97">
        <f>+$B$15</f>
        <v>350</v>
      </c>
      <c r="I68" s="97">
        <f>IF(F68*H68,+F68*H68,"        ")</f>
        <v>175</v>
      </c>
      <c r="J68" s="98">
        <f>F68/B$10</f>
        <v>0.0044444444444444444</v>
      </c>
      <c r="K68" s="99">
        <f>I68/I$132</f>
        <v>0.007081813386729482</v>
      </c>
    </row>
    <row r="69" spans="1:11" ht="12.75">
      <c r="A69" s="165" t="s">
        <v>119</v>
      </c>
      <c r="B69" s="47"/>
      <c r="C69" s="47"/>
      <c r="D69" s="48"/>
      <c r="E69" s="166"/>
      <c r="F69" s="95">
        <v>0.1667</v>
      </c>
      <c r="G69" s="166" t="s">
        <v>44</v>
      </c>
      <c r="H69" s="97">
        <v>350</v>
      </c>
      <c r="I69" s="100">
        <v>142.1875</v>
      </c>
      <c r="J69" s="98">
        <v>0.003611111111111111</v>
      </c>
      <c r="K69" s="99">
        <v>0.007402337100188525</v>
      </c>
    </row>
    <row r="70" spans="1:11" ht="12.75">
      <c r="A70" s="90" t="s">
        <v>120</v>
      </c>
      <c r="B70" s="47"/>
      <c r="C70" s="47"/>
      <c r="D70" s="48"/>
      <c r="E70" s="100"/>
      <c r="F70" s="95"/>
      <c r="G70" s="166"/>
      <c r="H70" s="97"/>
      <c r="I70" s="97"/>
      <c r="J70" s="98"/>
      <c r="K70" s="99"/>
    </row>
    <row r="71" spans="1:11" ht="12.75">
      <c r="A71" s="90" t="s">
        <v>121</v>
      </c>
      <c r="B71" s="3"/>
      <c r="C71" s="3"/>
      <c r="D71" s="3"/>
      <c r="E71" s="100"/>
      <c r="F71" s="95">
        <f>0.125</f>
        <v>0.125</v>
      </c>
      <c r="G71" s="96" t="s">
        <v>44</v>
      </c>
      <c r="H71" s="97">
        <f>+$B$15</f>
        <v>350</v>
      </c>
      <c r="I71" s="97">
        <f>IF(F71*H71,+F71*H71,"        ")</f>
        <v>43.75</v>
      </c>
      <c r="J71" s="98">
        <f>F71/B$10</f>
        <v>0.0011111111111111111</v>
      </c>
      <c r="K71" s="99">
        <f>I71/I$132</f>
        <v>0.0017704533466823705</v>
      </c>
    </row>
    <row r="72" spans="1:11" ht="12" customHeight="1" thickBot="1">
      <c r="A72" s="211" t="s">
        <v>85</v>
      </c>
      <c r="B72" s="212"/>
      <c r="C72" s="212"/>
      <c r="D72" s="212"/>
      <c r="E72" s="168"/>
      <c r="F72" s="169"/>
      <c r="G72" s="170"/>
      <c r="H72" s="171"/>
      <c r="I72" s="171"/>
      <c r="J72" s="172"/>
      <c r="K72" s="173"/>
    </row>
    <row r="73" spans="1:11" ht="0.75" customHeight="1">
      <c r="A73" s="174"/>
      <c r="B73" s="175"/>
      <c r="C73" s="176"/>
      <c r="D73" s="177"/>
      <c r="E73" s="175"/>
      <c r="F73" s="178"/>
      <c r="G73" s="179"/>
      <c r="H73" s="180"/>
      <c r="I73" s="180"/>
      <c r="J73" s="181"/>
      <c r="K73" s="182"/>
    </row>
    <row r="74" spans="1:11" ht="12.75">
      <c r="A74" s="435" t="s">
        <v>86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7"/>
    </row>
    <row r="75" spans="1:11" ht="13.5" thickBo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8"/>
    </row>
    <row r="76" spans="1:11" ht="21" customHeight="1">
      <c r="A76" s="189" t="s">
        <v>122</v>
      </c>
      <c r="B76" s="190"/>
      <c r="C76" s="190"/>
      <c r="D76" s="191"/>
      <c r="E76" s="192" t="s">
        <v>53</v>
      </c>
      <c r="F76" s="193">
        <f>0.1*4</f>
        <v>0.4</v>
      </c>
      <c r="G76" s="192" t="s">
        <v>44</v>
      </c>
      <c r="H76" s="194">
        <v>350</v>
      </c>
      <c r="I76" s="195">
        <v>140</v>
      </c>
      <c r="J76" s="196">
        <v>0.0035555555555555557</v>
      </c>
      <c r="K76" s="197">
        <v>0.0074124429554341025</v>
      </c>
    </row>
    <row r="77" spans="1:12" s="14" customFormat="1" ht="12.75">
      <c r="A77" s="90" t="s">
        <v>123</v>
      </c>
      <c r="B77" s="91"/>
      <c r="C77" s="167"/>
      <c r="D77" s="93"/>
      <c r="E77" s="183"/>
      <c r="F77" s="95">
        <v>0.1</v>
      </c>
      <c r="G77" s="96" t="s">
        <v>44</v>
      </c>
      <c r="H77" s="97">
        <v>350</v>
      </c>
      <c r="I77" s="97">
        <f>IF(F77*H77,+F77*H77,"        ")</f>
        <v>35</v>
      </c>
      <c r="J77" s="98">
        <f>F77/B$10</f>
        <v>0.0008888888888888889</v>
      </c>
      <c r="K77" s="99">
        <f>I77/I$132</f>
        <v>0.0014163626773458964</v>
      </c>
      <c r="L77" s="162"/>
    </row>
    <row r="78" spans="1:11" ht="13.5" customHeight="1">
      <c r="A78" s="165" t="s">
        <v>119</v>
      </c>
      <c r="B78" s="91"/>
      <c r="C78" s="91"/>
      <c r="D78" s="93"/>
      <c r="E78" s="166"/>
      <c r="F78" s="95">
        <v>0.1667</v>
      </c>
      <c r="G78" s="166" t="s">
        <v>44</v>
      </c>
      <c r="H78" s="97">
        <v>350</v>
      </c>
      <c r="I78" s="100">
        <v>142.1875</v>
      </c>
      <c r="J78" s="98">
        <v>0.003611111111111111</v>
      </c>
      <c r="K78" s="99">
        <v>0.007402337100188525</v>
      </c>
    </row>
    <row r="79" spans="1:11" ht="12.75">
      <c r="A79" s="90" t="s">
        <v>118</v>
      </c>
      <c r="B79" s="91"/>
      <c r="C79" s="167"/>
      <c r="D79" s="184"/>
      <c r="E79" s="91"/>
      <c r="F79" s="95">
        <v>0.5</v>
      </c>
      <c r="G79" s="96" t="s">
        <v>44</v>
      </c>
      <c r="H79" s="97">
        <f>+$B$15</f>
        <v>350</v>
      </c>
      <c r="I79" s="100">
        <f>IF(F79*H79,+F79*H79,"        ")</f>
        <v>175</v>
      </c>
      <c r="J79" s="98">
        <f>F79/B$10</f>
        <v>0.0044444444444444444</v>
      </c>
      <c r="K79" s="99">
        <f>I79/I$132</f>
        <v>0.007081813386729482</v>
      </c>
    </row>
    <row r="80" spans="1:11" ht="12.75">
      <c r="A80" s="165"/>
      <c r="B80" s="91"/>
      <c r="C80" s="92"/>
      <c r="D80" s="93"/>
      <c r="E80" s="183"/>
      <c r="F80" s="95"/>
      <c r="G80" s="166"/>
      <c r="H80" s="97"/>
      <c r="I80" s="100"/>
      <c r="J80" s="98"/>
      <c r="K80" s="99"/>
    </row>
    <row r="81" spans="1:11" ht="21" customHeight="1">
      <c r="A81" s="165" t="s">
        <v>124</v>
      </c>
      <c r="B81" s="91"/>
      <c r="C81" s="91"/>
      <c r="D81" s="93"/>
      <c r="E81" s="166" t="s">
        <v>54</v>
      </c>
      <c r="F81" s="95">
        <f>0.1*4</f>
        <v>0.4</v>
      </c>
      <c r="G81" s="166" t="s">
        <v>44</v>
      </c>
      <c r="H81" s="97">
        <v>350</v>
      </c>
      <c r="I81" s="100">
        <v>140</v>
      </c>
      <c r="J81" s="98">
        <v>0.0035555555555555557</v>
      </c>
      <c r="K81" s="99">
        <v>0.0074124429554341025</v>
      </c>
    </row>
    <row r="82" spans="1:11" ht="12.75">
      <c r="A82" s="90" t="s">
        <v>125</v>
      </c>
      <c r="B82" s="91"/>
      <c r="C82" s="91"/>
      <c r="D82" s="93"/>
      <c r="E82" s="101"/>
      <c r="F82" s="100">
        <v>0.1667</v>
      </c>
      <c r="G82" s="166" t="s">
        <v>44</v>
      </c>
      <c r="H82" s="97">
        <v>350</v>
      </c>
      <c r="I82" s="97">
        <v>142.1875</v>
      </c>
      <c r="J82" s="98">
        <v>0.003611111111111111</v>
      </c>
      <c r="K82" s="99">
        <v>0.007402337100188525</v>
      </c>
    </row>
    <row r="83" spans="1:11" ht="12.75">
      <c r="A83" s="165"/>
      <c r="B83" s="91"/>
      <c r="C83" s="167"/>
      <c r="D83" s="93"/>
      <c r="E83" s="183"/>
      <c r="F83" s="95"/>
      <c r="G83" s="166"/>
      <c r="H83" s="97"/>
      <c r="I83" s="97"/>
      <c r="J83" s="98"/>
      <c r="K83" s="99"/>
    </row>
    <row r="84" spans="1:11" ht="12.75">
      <c r="A84" s="165" t="s">
        <v>126</v>
      </c>
      <c r="B84" s="91"/>
      <c r="C84" s="91"/>
      <c r="D84" s="93"/>
      <c r="E84" s="166" t="s">
        <v>55</v>
      </c>
      <c r="F84" s="95">
        <f>0.1*4</f>
        <v>0.4</v>
      </c>
      <c r="G84" s="166" t="s">
        <v>44</v>
      </c>
      <c r="H84" s="97">
        <v>350</v>
      </c>
      <c r="I84" s="100">
        <v>140</v>
      </c>
      <c r="J84" s="98">
        <v>0.0035555555555555557</v>
      </c>
      <c r="K84" s="99">
        <v>0.0074124429554341025</v>
      </c>
    </row>
    <row r="85" spans="1:12" s="14" customFormat="1" ht="12.75">
      <c r="A85" s="55" t="s">
        <v>123</v>
      </c>
      <c r="B85" s="47"/>
      <c r="C85" s="60"/>
      <c r="D85" s="48"/>
      <c r="E85" s="67"/>
      <c r="F85" s="50">
        <v>0.1</v>
      </c>
      <c r="G85" s="57" t="s">
        <v>44</v>
      </c>
      <c r="H85" s="52">
        <v>350</v>
      </c>
      <c r="I85" s="52">
        <f>IF(F85*H85,+F85*H85,"        ")</f>
        <v>35</v>
      </c>
      <c r="J85" s="58">
        <f>F85/B$10</f>
        <v>0.0008888888888888889</v>
      </c>
      <c r="K85" s="54">
        <f>I85/I$132</f>
        <v>0.0014163626773458964</v>
      </c>
      <c r="L85" s="162"/>
    </row>
    <row r="86" spans="1:12" s="14" customFormat="1" ht="15" customHeight="1">
      <c r="A86" s="61" t="s">
        <v>117</v>
      </c>
      <c r="B86" s="47"/>
      <c r="C86" s="47"/>
      <c r="D86" s="48"/>
      <c r="E86" s="49"/>
      <c r="F86" s="50">
        <v>0.1</v>
      </c>
      <c r="G86" s="57" t="s">
        <v>44</v>
      </c>
      <c r="H86" s="52">
        <v>350</v>
      </c>
      <c r="I86" s="52">
        <f>IF(F86*H86,+F86*H86,"        ")</f>
        <v>35</v>
      </c>
      <c r="J86" s="58"/>
      <c r="K86" s="54"/>
      <c r="L86" s="162"/>
    </row>
    <row r="87" spans="1:11" ht="12.75">
      <c r="A87" s="55" t="s">
        <v>119</v>
      </c>
      <c r="B87" s="47"/>
      <c r="C87" s="47"/>
      <c r="D87" s="48"/>
      <c r="E87" s="59"/>
      <c r="F87" s="49">
        <v>0.1667</v>
      </c>
      <c r="G87" s="51" t="s">
        <v>44</v>
      </c>
      <c r="H87" s="52">
        <v>350</v>
      </c>
      <c r="I87" s="52">
        <v>142.1875</v>
      </c>
      <c r="J87" s="58">
        <v>0.003611111111111111</v>
      </c>
      <c r="K87" s="54">
        <v>0.007402337100188525</v>
      </c>
    </row>
    <row r="88" spans="1:11" ht="12.75">
      <c r="A88" s="55" t="s">
        <v>120</v>
      </c>
      <c r="B88" s="47"/>
      <c r="C88" s="47"/>
      <c r="D88" s="157"/>
      <c r="E88" s="156"/>
      <c r="F88" s="50"/>
      <c r="G88" s="51"/>
      <c r="H88" s="52"/>
      <c r="I88" s="52"/>
      <c r="J88" s="58"/>
      <c r="K88" s="54"/>
    </row>
    <row r="89" spans="1:11" ht="12.75">
      <c r="A89" s="55" t="s">
        <v>121</v>
      </c>
      <c r="B89" s="47"/>
      <c r="C89" s="47"/>
      <c r="D89" s="157"/>
      <c r="E89" s="156"/>
      <c r="F89" s="50">
        <f>0.125</f>
        <v>0.125</v>
      </c>
      <c r="G89" s="57" t="s">
        <v>44</v>
      </c>
      <c r="H89" s="52">
        <f>+$B$15</f>
        <v>350</v>
      </c>
      <c r="I89" s="97">
        <f>IF(F89*H89,+F89*H89,"        ")</f>
        <v>43.75</v>
      </c>
      <c r="J89" s="58">
        <f>F89/B$10</f>
        <v>0.0011111111111111111</v>
      </c>
      <c r="K89" s="54">
        <f aca="true" t="shared" si="3" ref="K89:K95">I89/I$132</f>
        <v>0.0017704533466823705</v>
      </c>
    </row>
    <row r="90" spans="1:11" ht="12.75">
      <c r="A90" s="143" t="s">
        <v>101</v>
      </c>
      <c r="B90" s="144"/>
      <c r="C90" s="144"/>
      <c r="D90" s="144"/>
      <c r="E90" s="145"/>
      <c r="F90" s="146">
        <v>1</v>
      </c>
      <c r="G90" s="148" t="s">
        <v>40</v>
      </c>
      <c r="H90" s="52">
        <v>56</v>
      </c>
      <c r="I90" s="97">
        <f aca="true" t="shared" si="4" ref="I90:I95">IF(F90*H90,+F90*H90,"        ")</f>
        <v>56</v>
      </c>
      <c r="J90" s="58">
        <f aca="true" t="shared" si="5" ref="J90:J95">F90/B$10</f>
        <v>0.008888888888888889</v>
      </c>
      <c r="K90" s="54">
        <f t="shared" si="3"/>
        <v>0.0022661802837534344</v>
      </c>
    </row>
    <row r="91" spans="1:11" ht="12.75">
      <c r="A91" s="143" t="s">
        <v>102</v>
      </c>
      <c r="B91" s="144"/>
      <c r="C91" s="144"/>
      <c r="D91" s="144"/>
      <c r="E91" s="145"/>
      <c r="F91" s="146">
        <v>1</v>
      </c>
      <c r="G91" s="148" t="s">
        <v>40</v>
      </c>
      <c r="H91" s="52">
        <v>595</v>
      </c>
      <c r="I91" s="97">
        <f t="shared" si="4"/>
        <v>595</v>
      </c>
      <c r="J91" s="58">
        <f t="shared" si="5"/>
        <v>0.008888888888888889</v>
      </c>
      <c r="K91" s="54">
        <f t="shared" si="3"/>
        <v>0.024078165514880238</v>
      </c>
    </row>
    <row r="92" spans="1:11" ht="18.75" customHeight="1">
      <c r="A92" s="143" t="s">
        <v>103</v>
      </c>
      <c r="B92" s="144"/>
      <c r="C92" s="144"/>
      <c r="D92" s="144"/>
      <c r="E92" s="145"/>
      <c r="F92" s="146">
        <v>1</v>
      </c>
      <c r="G92" s="148" t="s">
        <v>40</v>
      </c>
      <c r="H92" s="52">
        <v>280</v>
      </c>
      <c r="I92" s="97">
        <f t="shared" si="4"/>
        <v>280</v>
      </c>
      <c r="J92" s="58">
        <f t="shared" si="5"/>
        <v>0.008888888888888889</v>
      </c>
      <c r="K92" s="54">
        <f t="shared" si="3"/>
        <v>0.011330901418767171</v>
      </c>
    </row>
    <row r="93" spans="1:11" ht="18.75" customHeight="1">
      <c r="A93" s="143" t="s">
        <v>106</v>
      </c>
      <c r="B93" s="144"/>
      <c r="C93" s="144"/>
      <c r="D93" s="144"/>
      <c r="E93" s="145"/>
      <c r="F93" s="146">
        <v>1</v>
      </c>
      <c r="G93" s="148" t="s">
        <v>40</v>
      </c>
      <c r="H93" s="52">
        <v>1900</v>
      </c>
      <c r="I93" s="97">
        <f>IF(F93*H93,+F93*H93,"        ")</f>
        <v>1900</v>
      </c>
      <c r="J93" s="58">
        <f t="shared" si="5"/>
        <v>0.008888888888888889</v>
      </c>
      <c r="K93" s="54">
        <f t="shared" si="3"/>
        <v>0.07688825962734866</v>
      </c>
    </row>
    <row r="94" spans="1:11" ht="12.75">
      <c r="A94" s="143" t="s">
        <v>104</v>
      </c>
      <c r="B94" s="144"/>
      <c r="C94" s="144"/>
      <c r="D94" s="144"/>
      <c r="E94" s="145"/>
      <c r="F94" s="146">
        <v>1</v>
      </c>
      <c r="G94" s="148" t="s">
        <v>40</v>
      </c>
      <c r="H94" s="52">
        <v>120</v>
      </c>
      <c r="I94" s="97">
        <f t="shared" si="4"/>
        <v>120</v>
      </c>
      <c r="J94" s="58">
        <f t="shared" si="5"/>
        <v>0.008888888888888889</v>
      </c>
      <c r="K94" s="54">
        <f t="shared" si="3"/>
        <v>0.004856100608043074</v>
      </c>
    </row>
    <row r="95" spans="1:11" ht="12.75">
      <c r="A95" s="143" t="s">
        <v>105</v>
      </c>
      <c r="B95" s="144"/>
      <c r="C95" s="144"/>
      <c r="D95" s="144"/>
      <c r="E95" s="145"/>
      <c r="F95" s="146">
        <v>1</v>
      </c>
      <c r="G95" s="148" t="s">
        <v>40</v>
      </c>
      <c r="H95" s="52">
        <v>350</v>
      </c>
      <c r="I95" s="97">
        <f t="shared" si="4"/>
        <v>350</v>
      </c>
      <c r="J95" s="58">
        <f t="shared" si="5"/>
        <v>0.008888888888888889</v>
      </c>
      <c r="K95" s="54">
        <f t="shared" si="3"/>
        <v>0.014163626773458964</v>
      </c>
    </row>
    <row r="96" spans="1:12" s="3" customFormat="1" ht="21" customHeight="1">
      <c r="A96" s="61" t="s">
        <v>126</v>
      </c>
      <c r="B96" s="47"/>
      <c r="C96" s="47"/>
      <c r="D96" s="48"/>
      <c r="E96" s="51" t="s">
        <v>56</v>
      </c>
      <c r="F96" s="50">
        <v>0.4</v>
      </c>
      <c r="G96" s="51" t="s">
        <v>44</v>
      </c>
      <c r="H96" s="52">
        <v>350</v>
      </c>
      <c r="I96" s="97">
        <v>140</v>
      </c>
      <c r="J96" s="58">
        <v>0.0035555555555555557</v>
      </c>
      <c r="K96" s="54">
        <v>0.0074124429554341025</v>
      </c>
      <c r="L96" s="161"/>
    </row>
    <row r="97" spans="1:11" ht="12.75">
      <c r="A97" s="55" t="s">
        <v>119</v>
      </c>
      <c r="B97" s="47"/>
      <c r="C97" s="47"/>
      <c r="D97" s="48"/>
      <c r="E97" s="59"/>
      <c r="F97" s="49">
        <v>0.1667</v>
      </c>
      <c r="G97" s="51" t="s">
        <v>44</v>
      </c>
      <c r="H97" s="52">
        <v>350</v>
      </c>
      <c r="I97" s="52">
        <v>142.1875</v>
      </c>
      <c r="J97" s="58">
        <v>0.003611111111111111</v>
      </c>
      <c r="K97" s="54">
        <v>0.007402337100188525</v>
      </c>
    </row>
    <row r="98" spans="1:12" ht="12.75">
      <c r="A98" s="55" t="s">
        <v>127</v>
      </c>
      <c r="B98" s="47"/>
      <c r="C98" s="47"/>
      <c r="D98" s="48"/>
      <c r="E98" s="59"/>
      <c r="F98" s="47">
        <f>125/4</f>
        <v>31.25</v>
      </c>
      <c r="G98" s="51" t="s">
        <v>67</v>
      </c>
      <c r="H98" s="52">
        <v>15</v>
      </c>
      <c r="I98" s="52">
        <f>+F98*H98</f>
        <v>468.75</v>
      </c>
      <c r="J98" s="58"/>
      <c r="K98" s="54"/>
      <c r="L98" s="158">
        <f>125/4</f>
        <v>31.25</v>
      </c>
    </row>
    <row r="99" spans="1:12" s="3" customFormat="1" ht="21" customHeight="1">
      <c r="A99" s="61" t="s">
        <v>126</v>
      </c>
      <c r="B99" s="47"/>
      <c r="C99" s="47"/>
      <c r="D99" s="48"/>
      <c r="E99" s="51" t="s">
        <v>57</v>
      </c>
      <c r="F99" s="50">
        <v>0.4</v>
      </c>
      <c r="G99" s="51" t="s">
        <v>44</v>
      </c>
      <c r="H99" s="52">
        <v>350</v>
      </c>
      <c r="I99" s="52">
        <v>140</v>
      </c>
      <c r="J99" s="58">
        <v>0.0035555555555555557</v>
      </c>
      <c r="K99" s="54">
        <v>0.0074124429554341025</v>
      </c>
      <c r="L99" s="161"/>
    </row>
    <row r="100" spans="1:11" ht="12.75">
      <c r="A100" s="55" t="s">
        <v>119</v>
      </c>
      <c r="B100" s="47"/>
      <c r="C100" s="47"/>
      <c r="D100" s="48"/>
      <c r="E100" s="59"/>
      <c r="F100" s="49">
        <v>0.1667</v>
      </c>
      <c r="G100" s="51" t="s">
        <v>44</v>
      </c>
      <c r="H100" s="52">
        <v>350</v>
      </c>
      <c r="I100" s="52">
        <v>142.1875</v>
      </c>
      <c r="J100" s="58">
        <v>0.003611111111111111</v>
      </c>
      <c r="K100" s="54">
        <v>0.007402337100188525</v>
      </c>
    </row>
    <row r="101" spans="1:11" ht="12.75">
      <c r="A101" s="55" t="s">
        <v>120</v>
      </c>
      <c r="B101" s="47"/>
      <c r="C101" s="47"/>
      <c r="D101" s="157"/>
      <c r="E101" s="156"/>
      <c r="F101" s="50"/>
      <c r="G101" s="51"/>
      <c r="H101" s="52"/>
      <c r="I101" s="52"/>
      <c r="J101" s="58"/>
      <c r="K101" s="54"/>
    </row>
    <row r="102" spans="1:11" ht="12.75">
      <c r="A102" s="55" t="s">
        <v>121</v>
      </c>
      <c r="B102" s="47"/>
      <c r="C102" s="47"/>
      <c r="D102" s="157"/>
      <c r="E102" s="156"/>
      <c r="F102" s="50">
        <f>0.125</f>
        <v>0.125</v>
      </c>
      <c r="G102" s="57" t="s">
        <v>44</v>
      </c>
      <c r="H102" s="52">
        <f>+$B$15</f>
        <v>350</v>
      </c>
      <c r="I102" s="52">
        <f>IF(F102*H102,+F102*H102,"        ")</f>
        <v>43.75</v>
      </c>
      <c r="J102" s="58">
        <f>F102/B$10</f>
        <v>0.0011111111111111111</v>
      </c>
      <c r="K102" s="54">
        <f>I102/I$132</f>
        <v>0.0017704533466823705</v>
      </c>
    </row>
    <row r="103" spans="1:12" ht="12.75">
      <c r="A103" s="55" t="s">
        <v>127</v>
      </c>
      <c r="B103" s="47"/>
      <c r="C103" s="47"/>
      <c r="D103" s="48"/>
      <c r="E103" s="59"/>
      <c r="F103" s="47">
        <f>125/4</f>
        <v>31.25</v>
      </c>
      <c r="G103" s="51" t="s">
        <v>67</v>
      </c>
      <c r="H103" s="52">
        <v>15</v>
      </c>
      <c r="I103" s="52">
        <f>+F103*H103</f>
        <v>468.75</v>
      </c>
      <c r="J103" s="58"/>
      <c r="K103" s="54"/>
      <c r="L103" s="158">
        <f>125/4</f>
        <v>31.25</v>
      </c>
    </row>
    <row r="104" spans="1:12" s="3" customFormat="1" ht="21" customHeight="1">
      <c r="A104" s="61" t="s">
        <v>126</v>
      </c>
      <c r="B104" s="47"/>
      <c r="C104" s="47"/>
      <c r="D104" s="48"/>
      <c r="E104" s="51" t="s">
        <v>58</v>
      </c>
      <c r="F104" s="50">
        <v>0.4</v>
      </c>
      <c r="G104" s="51" t="s">
        <v>44</v>
      </c>
      <c r="H104" s="52">
        <v>350</v>
      </c>
      <c r="I104" s="52">
        <v>140</v>
      </c>
      <c r="J104" s="58">
        <v>0.0035555555555555557</v>
      </c>
      <c r="K104" s="54">
        <v>0.0074124429554341025</v>
      </c>
      <c r="L104" s="161"/>
    </row>
    <row r="105" spans="1:11" ht="12.75">
      <c r="A105" s="55" t="s">
        <v>119</v>
      </c>
      <c r="B105" s="47"/>
      <c r="C105" s="47"/>
      <c r="D105" s="48"/>
      <c r="E105" s="59"/>
      <c r="F105" s="49">
        <v>0.1667</v>
      </c>
      <c r="G105" s="51" t="s">
        <v>44</v>
      </c>
      <c r="H105" s="52">
        <v>350</v>
      </c>
      <c r="I105" s="52">
        <v>142.1875</v>
      </c>
      <c r="J105" s="58">
        <v>0.003611111111111111</v>
      </c>
      <c r="K105" s="54">
        <v>0.007402337100188525</v>
      </c>
    </row>
    <row r="106" spans="1:12" ht="12.75">
      <c r="A106" s="55" t="s">
        <v>127</v>
      </c>
      <c r="B106" s="47"/>
      <c r="C106" s="47"/>
      <c r="D106" s="48"/>
      <c r="E106" s="59"/>
      <c r="F106" s="47">
        <f>125/4</f>
        <v>31.25</v>
      </c>
      <c r="G106" s="51" t="s">
        <v>67</v>
      </c>
      <c r="H106" s="52">
        <v>15</v>
      </c>
      <c r="I106" s="52">
        <f>+F106*H106</f>
        <v>468.75</v>
      </c>
      <c r="J106" s="58"/>
      <c r="K106" s="54"/>
      <c r="L106" s="158">
        <f>125/4</f>
        <v>31.25</v>
      </c>
    </row>
    <row r="107" spans="1:12" s="3" customFormat="1" ht="21" customHeight="1">
      <c r="A107" s="61" t="s">
        <v>126</v>
      </c>
      <c r="B107" s="47"/>
      <c r="C107" s="47"/>
      <c r="D107" s="48"/>
      <c r="E107" s="51" t="s">
        <v>59</v>
      </c>
      <c r="F107" s="50">
        <v>0.4</v>
      </c>
      <c r="G107" s="51" t="s">
        <v>44</v>
      </c>
      <c r="H107" s="52">
        <v>350</v>
      </c>
      <c r="I107" s="52">
        <v>140</v>
      </c>
      <c r="J107" s="58">
        <v>0.0035555555555555557</v>
      </c>
      <c r="K107" s="54">
        <v>0.0074124429554341025</v>
      </c>
      <c r="L107" s="161"/>
    </row>
    <row r="108" spans="1:11" ht="12.75">
      <c r="A108" s="55" t="s">
        <v>119</v>
      </c>
      <c r="B108" s="47"/>
      <c r="C108" s="47"/>
      <c r="D108" s="48"/>
      <c r="E108" s="59"/>
      <c r="F108" s="49">
        <v>0.1667</v>
      </c>
      <c r="G108" s="51" t="s">
        <v>44</v>
      </c>
      <c r="H108" s="52">
        <v>350</v>
      </c>
      <c r="I108" s="52">
        <v>142.1875</v>
      </c>
      <c r="J108" s="58">
        <v>0.003611111111111111</v>
      </c>
      <c r="K108" s="54">
        <v>0.007402337100188525</v>
      </c>
    </row>
    <row r="109" spans="1:12" ht="12.75">
      <c r="A109" s="55" t="s">
        <v>127</v>
      </c>
      <c r="B109" s="47"/>
      <c r="C109" s="47"/>
      <c r="D109" s="48"/>
      <c r="E109" s="59"/>
      <c r="F109" s="47">
        <f>125/4</f>
        <v>31.25</v>
      </c>
      <c r="G109" s="51" t="s">
        <v>67</v>
      </c>
      <c r="H109" s="52">
        <v>15</v>
      </c>
      <c r="I109" s="52">
        <f>+F109*H109</f>
        <v>468.75</v>
      </c>
      <c r="J109" s="58">
        <v>0.003611111111111111</v>
      </c>
      <c r="K109" s="54">
        <v>0.007402337100188525</v>
      </c>
      <c r="L109" s="158">
        <f>125/4</f>
        <v>31.25</v>
      </c>
    </row>
    <row r="110" spans="1:12" s="3" customFormat="1" ht="12.75">
      <c r="A110" s="61" t="s">
        <v>128</v>
      </c>
      <c r="B110" s="47"/>
      <c r="C110" s="47"/>
      <c r="D110" s="48"/>
      <c r="E110" s="49"/>
      <c r="F110" s="95">
        <v>1</v>
      </c>
      <c r="G110" s="96" t="s">
        <v>40</v>
      </c>
      <c r="H110" s="97">
        <v>57.67</v>
      </c>
      <c r="I110" s="52">
        <f>IF(F110*H110,+F110*H110,"        ")</f>
        <v>57.67</v>
      </c>
      <c r="J110" s="58">
        <v>0.003611111111111111</v>
      </c>
      <c r="K110" s="54">
        <v>0.007402337100188525</v>
      </c>
      <c r="L110" s="161"/>
    </row>
    <row r="111" spans="1:11" ht="13.5" thickBot="1">
      <c r="A111" s="68" t="s">
        <v>129</v>
      </c>
      <c r="B111" s="62"/>
      <c r="C111" s="62"/>
      <c r="D111" s="63"/>
      <c r="E111" s="69"/>
      <c r="F111" s="69"/>
      <c r="G111" s="70"/>
      <c r="H111" s="64"/>
      <c r="I111" s="69"/>
      <c r="J111" s="65"/>
      <c r="K111" s="66"/>
    </row>
    <row r="112" spans="1:10" ht="12.75">
      <c r="A112" s="3"/>
      <c r="B112" s="3"/>
      <c r="C112" s="3"/>
      <c r="D112" s="4"/>
      <c r="E112" s="3"/>
      <c r="F112" s="3"/>
      <c r="G112" s="6"/>
      <c r="H112" s="7"/>
      <c r="I112" s="3"/>
      <c r="J112" s="5"/>
    </row>
    <row r="113" spans="1:11" ht="12.75">
      <c r="A113" s="425" t="s">
        <v>87</v>
      </c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</row>
    <row r="114" spans="1:11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</row>
    <row r="115" spans="1:11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</row>
    <row r="116" spans="1:11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</row>
    <row r="117" spans="1:11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</row>
    <row r="118" spans="1:11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1:11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1:11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:11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  <row r="124" spans="1:11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</row>
    <row r="125" spans="1:11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</row>
    <row r="126" spans="1:11" ht="13.5" thickBot="1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</row>
    <row r="127" spans="1:11" ht="12.75">
      <c r="A127" s="71"/>
      <c r="B127" s="72"/>
      <c r="C127" s="72"/>
      <c r="D127" s="72"/>
      <c r="E127" s="72"/>
      <c r="F127" s="72"/>
      <c r="G127" s="73"/>
      <c r="H127" s="72"/>
      <c r="I127" s="74"/>
      <c r="J127" s="16"/>
      <c r="K127" s="29"/>
    </row>
    <row r="128" spans="1:11" ht="12.75">
      <c r="A128" s="75" t="s">
        <v>68</v>
      </c>
      <c r="B128" s="44"/>
      <c r="C128" s="76"/>
      <c r="D128" s="77"/>
      <c r="E128" s="47"/>
      <c r="F128" s="47"/>
      <c r="G128" s="45"/>
      <c r="H128" s="47"/>
      <c r="I128" s="78">
        <f>SUM(I22:I113)</f>
        <v>21534.801652479528</v>
      </c>
      <c r="J128" s="16"/>
      <c r="K128" s="29"/>
    </row>
    <row r="129" spans="1:12" s="3" customFormat="1" ht="13.5" customHeight="1">
      <c r="A129" s="80" t="s">
        <v>60</v>
      </c>
      <c r="B129" s="47"/>
      <c r="C129" s="44"/>
      <c r="D129" s="44"/>
      <c r="E129" s="44"/>
      <c r="F129" s="44"/>
      <c r="G129" s="45"/>
      <c r="H129" s="47"/>
      <c r="I129" s="81">
        <f>(I128*0.02)</f>
        <v>430.69603304959054</v>
      </c>
      <c r="J129" s="16"/>
      <c r="K129" s="29"/>
      <c r="L129" s="161"/>
    </row>
    <row r="130" spans="1:12" s="3" customFormat="1" ht="12" customHeight="1">
      <c r="A130" s="80" t="s">
        <v>61</v>
      </c>
      <c r="B130" s="47"/>
      <c r="C130" s="44"/>
      <c r="D130" s="44"/>
      <c r="E130" s="44"/>
      <c r="F130" s="44"/>
      <c r="G130" s="45"/>
      <c r="H130" s="47"/>
      <c r="I130" s="81">
        <v>0</v>
      </c>
      <c r="J130" s="79"/>
      <c r="K130" s="82"/>
      <c r="L130" s="161"/>
    </row>
    <row r="131" spans="1:11" ht="17.25" customHeight="1">
      <c r="A131" s="80" t="s">
        <v>83</v>
      </c>
      <c r="B131" s="47"/>
      <c r="C131" s="47"/>
      <c r="D131" s="47"/>
      <c r="E131" s="47"/>
      <c r="F131" s="47"/>
      <c r="G131" s="83"/>
      <c r="H131" s="47"/>
      <c r="I131" s="84">
        <f>SUM(I128:I130)*0.125</f>
        <v>2745.6872106911396</v>
      </c>
      <c r="J131" s="85">
        <f>+I129+I130+I131</f>
        <v>3176.38324374073</v>
      </c>
      <c r="K131" s="29"/>
    </row>
    <row r="132" spans="1:11" ht="13.5" thickBot="1">
      <c r="A132" s="119" t="s">
        <v>62</v>
      </c>
      <c r="B132" s="116"/>
      <c r="C132" s="116"/>
      <c r="D132" s="116"/>
      <c r="E132" s="116"/>
      <c r="F132" s="116"/>
      <c r="G132" s="120"/>
      <c r="H132" s="121"/>
      <c r="I132" s="122">
        <f>SUM(I128:I131)</f>
        <v>24711.184896220257</v>
      </c>
      <c r="J132" s="79"/>
      <c r="K132" s="29"/>
    </row>
    <row r="133" spans="1:11" ht="21.75" customHeight="1" thickBot="1">
      <c r="A133" s="8"/>
      <c r="B133" s="9"/>
      <c r="C133" s="9"/>
      <c r="D133" s="9"/>
      <c r="E133" s="9"/>
      <c r="F133" s="9"/>
      <c r="G133" s="10"/>
      <c r="H133" s="9"/>
      <c r="I133" s="12">
        <f>SUM(I129:I131)</f>
        <v>3176.38324374073</v>
      </c>
      <c r="J133" s="86"/>
      <c r="K133" s="87"/>
    </row>
    <row r="134" spans="1:11" ht="12.75" customHeight="1">
      <c r="A134" s="123"/>
      <c r="B134" s="124"/>
      <c r="C134" s="125"/>
      <c r="D134" s="126"/>
      <c r="E134" s="124"/>
      <c r="F134" s="126"/>
      <c r="G134" s="127"/>
      <c r="H134" s="125"/>
      <c r="I134" s="128"/>
      <c r="J134" s="86"/>
      <c r="K134" s="87"/>
    </row>
    <row r="135" spans="1:11" ht="38.25" customHeight="1">
      <c r="A135" s="129" t="s">
        <v>63</v>
      </c>
      <c r="B135" s="130"/>
      <c r="C135" s="131">
        <v>0</v>
      </c>
      <c r="D135" s="132"/>
      <c r="E135" s="133">
        <f>(C135/I128)</f>
        <v>0</v>
      </c>
      <c r="F135" s="134" t="s">
        <v>64</v>
      </c>
      <c r="G135" s="135"/>
      <c r="H135" s="136">
        <f>SUM(I44:I113)</f>
        <v>9755.8175</v>
      </c>
      <c r="I135" s="137">
        <f>(H135/I128)</f>
        <v>0.4530256492460756</v>
      </c>
      <c r="J135" s="16"/>
      <c r="K135" s="29"/>
    </row>
    <row r="136" spans="1:12" s="13" customFormat="1" ht="15.75" customHeight="1">
      <c r="A136" s="129" t="s">
        <v>65</v>
      </c>
      <c r="B136" s="130"/>
      <c r="C136" s="131">
        <f>SUM(I35:I41)</f>
        <v>3489</v>
      </c>
      <c r="D136" s="132"/>
      <c r="E136" s="133">
        <f>ROUND((C136/I128),7)</f>
        <v>0.1620168</v>
      </c>
      <c r="F136" s="134" t="s">
        <v>66</v>
      </c>
      <c r="G136" s="135"/>
      <c r="H136" s="136">
        <f>SUM(I23:I32)</f>
        <v>8289.98415247953</v>
      </c>
      <c r="I136" s="138">
        <f>(H136/I128)</f>
        <v>0.3849575346111914</v>
      </c>
      <c r="J136" s="16"/>
      <c r="K136" s="29"/>
      <c r="L136" s="163"/>
    </row>
    <row r="137" spans="1:12" s="13" customFormat="1" ht="15" customHeight="1" thickBot="1">
      <c r="A137" s="115"/>
      <c r="B137" s="117"/>
      <c r="C137" s="139"/>
      <c r="D137" s="140"/>
      <c r="E137" s="139"/>
      <c r="F137" s="116"/>
      <c r="G137" s="120"/>
      <c r="H137" s="141"/>
      <c r="I137" s="142"/>
      <c r="J137" s="16"/>
      <c r="K137" s="29"/>
      <c r="L137" s="163"/>
    </row>
    <row r="138" spans="1:12" s="13" customFormat="1" ht="12.75" customHeight="1">
      <c r="A138" s="14" t="s">
        <v>79</v>
      </c>
      <c r="B138" s="14"/>
      <c r="C138" s="14"/>
      <c r="D138" s="14"/>
      <c r="E138" s="14"/>
      <c r="F138" s="14"/>
      <c r="G138" s="15"/>
      <c r="H138" s="14"/>
      <c r="I138" s="14"/>
      <c r="J138" s="16"/>
      <c r="K138" s="29"/>
      <c r="L138" s="163"/>
    </row>
    <row r="139" spans="1:12" s="13" customFormat="1" ht="13.5">
      <c r="A139" s="439" t="s">
        <v>82</v>
      </c>
      <c r="B139" s="439"/>
      <c r="C139" s="439"/>
      <c r="D139" s="439"/>
      <c r="E139" s="439"/>
      <c r="F139" s="439"/>
      <c r="G139" s="439"/>
      <c r="H139" s="439"/>
      <c r="I139" s="439"/>
      <c r="J139" s="439"/>
      <c r="K139" s="29"/>
      <c r="L139" s="163"/>
    </row>
    <row r="140" spans="1:12" s="13" customFormat="1" ht="13.5">
      <c r="A140" s="438" t="s">
        <v>78</v>
      </c>
      <c r="B140" s="438"/>
      <c r="C140" s="438"/>
      <c r="D140" s="438"/>
      <c r="E140" s="438"/>
      <c r="F140" s="438"/>
      <c r="G140" s="438"/>
      <c r="H140" s="438"/>
      <c r="I140" s="438"/>
      <c r="J140" s="438"/>
      <c r="K140" s="29"/>
      <c r="L140" s="163"/>
    </row>
    <row r="141" spans="1:11" ht="13.5">
      <c r="A141" s="440" t="s">
        <v>76</v>
      </c>
      <c r="B141" s="440"/>
      <c r="C141" s="440"/>
      <c r="D141" s="440"/>
      <c r="E141" s="440"/>
      <c r="F141" s="440"/>
      <c r="G141" s="440"/>
      <c r="H141" s="440"/>
      <c r="I141" s="440"/>
      <c r="J141" s="440"/>
      <c r="K141" s="17"/>
    </row>
    <row r="142" spans="1:11" ht="13.5">
      <c r="A142" s="17" t="s">
        <v>77</v>
      </c>
      <c r="B142" s="17"/>
      <c r="C142" s="18"/>
      <c r="D142" s="19"/>
      <c r="E142" s="17"/>
      <c r="F142" s="17"/>
      <c r="G142" s="18"/>
      <c r="H142" s="19"/>
      <c r="I142" s="20"/>
      <c r="J142" s="17"/>
      <c r="K142" s="17"/>
    </row>
    <row r="143" spans="1:11" ht="13.5">
      <c r="A143" s="17" t="s">
        <v>81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3.5">
      <c r="A144" s="17" t="s">
        <v>80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2.75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29"/>
    </row>
    <row r="146" spans="1:11" ht="12.75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29"/>
    </row>
    <row r="152" spans="1:10" ht="12.75">
      <c r="A152" s="425" t="s">
        <v>88</v>
      </c>
      <c r="B152" s="425"/>
      <c r="C152" s="425"/>
      <c r="D152" s="425"/>
      <c r="E152" s="425"/>
      <c r="F152" s="425"/>
      <c r="G152" s="425"/>
      <c r="H152" s="425"/>
      <c r="I152" s="425"/>
      <c r="J152" s="425"/>
    </row>
  </sheetData>
  <sheetProtection/>
  <mergeCells count="10">
    <mergeCell ref="A1:K1"/>
    <mergeCell ref="A113:K113"/>
    <mergeCell ref="A152:J152"/>
    <mergeCell ref="J17:J21"/>
    <mergeCell ref="K17:K21"/>
    <mergeCell ref="A17:I17"/>
    <mergeCell ref="A74:K74"/>
    <mergeCell ref="A140:J140"/>
    <mergeCell ref="A139:J139"/>
    <mergeCell ref="A141:J141"/>
  </mergeCells>
  <printOptions/>
  <pageMargins left="0.8661417322834646" right="0.2362204724409449" top="0.7480314960629921" bottom="0.7874015748031497" header="0" footer="0"/>
  <pageSetup horizontalDpi="600" verticalDpi="600" orientation="portrait" scale="75" r:id="rId1"/>
  <rowBreaks count="1" manualBreakCount="1">
    <brk id="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0:L21"/>
  <sheetViews>
    <sheetView zoomScalePageLayoutView="0" workbookViewId="0" topLeftCell="A25">
      <selection activeCell="H34" sqref="H34"/>
    </sheetView>
  </sheetViews>
  <sheetFormatPr defaultColWidth="11.421875" defaultRowHeight="12.75"/>
  <sheetData>
    <row r="10" ht="12.75">
      <c r="D10" s="149">
        <v>0.0625</v>
      </c>
    </row>
    <row r="11" spans="4:8" ht="12.75">
      <c r="D11">
        <f>+D10*4</f>
        <v>0.25</v>
      </c>
      <c r="E11">
        <f>+D11*140</f>
        <v>35</v>
      </c>
      <c r="H11" s="149">
        <v>0.0625</v>
      </c>
    </row>
    <row r="14" ht="12.75">
      <c r="E14">
        <f>17.5</f>
        <v>17.5</v>
      </c>
    </row>
    <row r="15" ht="12.75">
      <c r="L15">
        <f>0.5/16</f>
        <v>0.03125</v>
      </c>
    </row>
    <row r="17" ht="12.75">
      <c r="G17">
        <f>+E11*E18</f>
        <v>163.33333333333334</v>
      </c>
    </row>
    <row r="18" spans="5:12" ht="12.75">
      <c r="E18">
        <f>7/1.5</f>
        <v>4.666666666666667</v>
      </c>
      <c r="L18">
        <f>+L15*10</f>
        <v>0.3125</v>
      </c>
    </row>
    <row r="20" ht="12.75">
      <c r="F20">
        <f>400/1000</f>
        <v>0.4</v>
      </c>
    </row>
    <row r="21" ht="12.75">
      <c r="F21">
        <f>+F20/16</f>
        <v>0.025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8:H32"/>
  <sheetViews>
    <sheetView zoomScalePageLayoutView="0" workbookViewId="0" topLeftCell="A25">
      <selection activeCell="H34" sqref="H34"/>
    </sheetView>
  </sheetViews>
  <sheetFormatPr defaultColWidth="11.421875" defaultRowHeight="12.75"/>
  <sheetData>
    <row r="8" ht="12.75">
      <c r="H8">
        <f>+H3</f>
        <v>0</v>
      </c>
    </row>
    <row r="32" ht="12.75">
      <c r="H32">
        <f>3500/50</f>
        <v>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Hector Devares</cp:lastModifiedBy>
  <cp:lastPrinted>2017-01-11T17:09:08Z</cp:lastPrinted>
  <dcterms:created xsi:type="dcterms:W3CDTF">1999-01-22T15:00:19Z</dcterms:created>
  <dcterms:modified xsi:type="dcterms:W3CDTF">2024-02-13T13:59:59Z</dcterms:modified>
  <cp:category/>
  <cp:version/>
  <cp:contentType/>
  <cp:contentStatus/>
</cp:coreProperties>
</file>