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alderon.AGRICULTURA\Desktop\ADMINISTRACION RURAL\COSTOS 2022\COMPONENTE DE COSTOS 2022\Frutales\"/>
    </mc:Choice>
  </mc:AlternateContent>
  <xr:revisionPtr revIDLastSave="0" documentId="8_{40B2899E-32A2-4AB8-BD71-FB0C620F2C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23" i="1"/>
  <c r="K28" i="1"/>
  <c r="K26" i="1"/>
  <c r="K21" i="1"/>
  <c r="J21" i="1" s="1"/>
  <c r="G21" i="1"/>
  <c r="K20" i="1"/>
  <c r="H23" i="1"/>
  <c r="G23" i="1"/>
  <c r="F24" i="1"/>
  <c r="I24" i="1" s="1"/>
  <c r="F25" i="1"/>
  <c r="F26" i="1"/>
  <c r="I26" i="1" s="1"/>
  <c r="E30" i="1"/>
  <c r="K30" i="1"/>
  <c r="G30" i="1" s="1"/>
  <c r="J23" i="1"/>
  <c r="K24" i="1"/>
  <c r="K25" i="1"/>
  <c r="K29" i="1"/>
  <c r="K17" i="1"/>
  <c r="K18" i="1"/>
  <c r="G18" i="1"/>
  <c r="I18" i="1" s="1"/>
  <c r="F17" i="1"/>
  <c r="I17" i="1" s="1"/>
  <c r="F29" i="1"/>
  <c r="I29" i="1" s="1"/>
  <c r="E31" i="1"/>
  <c r="F31" i="1" s="1"/>
  <c r="I31" i="1" s="1"/>
  <c r="F30" i="1"/>
  <c r="K39" i="1" l="1"/>
  <c r="H21" i="1"/>
  <c r="F21" i="1"/>
  <c r="I21" i="1" s="1"/>
  <c r="G20" i="1"/>
  <c r="F20" i="1"/>
  <c r="J20" i="1"/>
  <c r="J16" i="1" s="1"/>
  <c r="H20" i="1"/>
  <c r="H16" i="1" s="1"/>
  <c r="F23" i="1"/>
  <c r="E32" i="1"/>
  <c r="K32" i="1" s="1"/>
  <c r="K31" i="1"/>
  <c r="I25" i="1"/>
  <c r="I23" i="1" s="1"/>
  <c r="I30" i="1"/>
  <c r="I20" i="1" l="1"/>
  <c r="F32" i="1"/>
  <c r="G16" i="1"/>
  <c r="F16" i="1"/>
  <c r="E33" i="1"/>
  <c r="G32" i="1"/>
  <c r="I32" i="1" s="1"/>
  <c r="I16" i="1" l="1"/>
  <c r="K33" i="1"/>
  <c r="E34" i="1"/>
  <c r="E35" i="1" l="1"/>
  <c r="K34" i="1"/>
  <c r="F33" i="1"/>
  <c r="I33" i="1" s="1"/>
  <c r="J33" i="1"/>
  <c r="H33" i="1"/>
  <c r="G33" i="1"/>
  <c r="F34" i="1" l="1"/>
  <c r="G34" i="1"/>
  <c r="J34" i="1"/>
  <c r="H34" i="1"/>
  <c r="H28" i="1" s="1"/>
  <c r="H39" i="1" s="1"/>
  <c r="E36" i="1"/>
  <c r="K35" i="1"/>
  <c r="H40" i="1" l="1"/>
  <c r="H41" i="1" s="1"/>
  <c r="H42" i="1" s="1"/>
  <c r="G35" i="1"/>
  <c r="J35" i="1"/>
  <c r="F35" i="1"/>
  <c r="E37" i="1"/>
  <c r="K37" i="1" s="1"/>
  <c r="F37" i="1" s="1"/>
  <c r="I37" i="1" s="1"/>
  <c r="J37" i="1" s="1"/>
  <c r="K36" i="1"/>
  <c r="I34" i="1"/>
  <c r="F36" i="1" l="1"/>
  <c r="G36" i="1"/>
  <c r="G28" i="1" s="1"/>
  <c r="G39" i="1" s="1"/>
  <c r="G40" i="1" s="1"/>
  <c r="G41" i="1" s="1"/>
  <c r="G42" i="1" s="1"/>
  <c r="J36" i="1"/>
  <c r="J28" i="1" s="1"/>
  <c r="J39" i="1" s="1"/>
  <c r="I35" i="1"/>
  <c r="J40" i="1" l="1"/>
  <c r="J41" i="1" s="1"/>
  <c r="F28" i="1"/>
  <c r="F39" i="1" s="1"/>
  <c r="I36" i="1"/>
  <c r="I28" i="1" s="1"/>
  <c r="I39" i="1" s="1"/>
  <c r="K40" i="1"/>
  <c r="K41" i="1" s="1"/>
  <c r="K42" i="1" l="1"/>
  <c r="J42" i="1"/>
  <c r="F40" i="1"/>
  <c r="F41" i="1"/>
  <c r="F42" i="1" s="1"/>
  <c r="I40" i="1"/>
  <c r="M40" i="1"/>
  <c r="L33" i="1"/>
  <c r="L37" i="1"/>
  <c r="L32" i="1"/>
  <c r="L17" i="1"/>
  <c r="L29" i="1"/>
  <c r="L36" i="1"/>
  <c r="L40" i="1"/>
  <c r="L35" i="1" l="1"/>
  <c r="L21" i="1"/>
  <c r="L18" i="1"/>
  <c r="L20" i="1"/>
  <c r="L25" i="1"/>
  <c r="L30" i="1"/>
  <c r="L34" i="1"/>
  <c r="L24" i="1"/>
  <c r="L26" i="1"/>
  <c r="L31" i="1"/>
  <c r="L41" i="1"/>
  <c r="L19" i="1"/>
  <c r="I41" i="1"/>
  <c r="I42" i="1" s="1"/>
  <c r="L16" i="1" l="1"/>
  <c r="L28" i="1"/>
  <c r="L23" i="1"/>
  <c r="L39" i="1" s="1"/>
  <c r="L42" i="1" s="1"/>
</calcChain>
</file>

<file path=xl/sharedStrings.xml><?xml version="1.0" encoding="utf-8"?>
<sst xmlns="http://schemas.openxmlformats.org/spreadsheetml/2006/main" count="65" uniqueCount="50">
  <si>
    <t xml:space="preserve">Valor </t>
  </si>
  <si>
    <t>1er. Año</t>
  </si>
  <si>
    <t>2do. Año</t>
  </si>
  <si>
    <t>3er. Año</t>
  </si>
  <si>
    <t>4-10 Año</t>
  </si>
  <si>
    <t>Costo</t>
  </si>
  <si>
    <t>Actividad</t>
  </si>
  <si>
    <t>Mes</t>
  </si>
  <si>
    <t>Unidad</t>
  </si>
  <si>
    <t>Unitario</t>
  </si>
  <si>
    <t>Total</t>
  </si>
  <si>
    <t>1- INSUMOS</t>
  </si>
  <si>
    <t>Planta</t>
  </si>
  <si>
    <t>Quintal</t>
  </si>
  <si>
    <t>Litro</t>
  </si>
  <si>
    <t>Kilo</t>
  </si>
  <si>
    <t>2-  PREPARACION DEL TERRENO</t>
  </si>
  <si>
    <t>Tarea</t>
  </si>
  <si>
    <t>3-  MANO DE OBRA</t>
  </si>
  <si>
    <t>Hom-Día</t>
  </si>
  <si>
    <t xml:space="preserve">   SUBTOTAL</t>
  </si>
  <si>
    <t xml:space="preserve">   GASTOS ADMINISTRATIVOS (2%)</t>
  </si>
  <si>
    <t xml:space="preserve">   TOTAL GENERAL</t>
  </si>
  <si>
    <t>Participación (%) por Acticidad</t>
  </si>
  <si>
    <t>Total Costo Fomento</t>
  </si>
  <si>
    <t>1.Compra de Plántulas de Siembra</t>
  </si>
  <si>
    <t>2. Compra para la Resiembra</t>
  </si>
  <si>
    <t>1. Corte (Mecanizado)</t>
  </si>
  <si>
    <t>2.Cruce (Mecanizado)</t>
  </si>
  <si>
    <t>3. Rastra (Mecanicado)</t>
  </si>
  <si>
    <t>1.Marcado y Alineación</t>
  </si>
  <si>
    <t>2. Transporte de Planta</t>
  </si>
  <si>
    <t>3. Construcción de Hoyos Siembra</t>
  </si>
  <si>
    <t>4.Construccion de Hoyos Resiembra</t>
  </si>
  <si>
    <t>5. Transporte de Fertilizantes</t>
  </si>
  <si>
    <t>6. Aplicación de Fertilizantes</t>
  </si>
  <si>
    <t>7.  Aplicación de Pesticidas</t>
  </si>
  <si>
    <t>8. Desyerbo</t>
  </si>
  <si>
    <t>9. Recolección y Empaque</t>
  </si>
  <si>
    <t xml:space="preserve">   GASTOS INTERESES 8.0% ANUAL (12 meses 8.0%)</t>
  </si>
  <si>
    <t>Los coeficientes utilizados en la estimación de los costos de producción fueron, actualizados en el levantamiento de campo realizado en el 2008 con el apoyo del PATCA. A partir del 2009, se han actualizado anualmente el precio de los insumos (pesticidas, agua y combustible), mano de obra,  actividades de preparación de  terreno y tasa de interés. Precios de los insumos actualizados a marzo, 2022.</t>
  </si>
  <si>
    <t>Viceministerio de Planificación Sectorial Agropecuaria</t>
  </si>
  <si>
    <t>Departamento de Economía Agropecuaria y Estadísticas</t>
  </si>
  <si>
    <t xml:space="preserve">Nota:  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</si>
  <si>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 Ministerio de Agricultura, Departamento de Economía Agropecuaria y Estadísticas.</t>
    </r>
  </si>
  <si>
    <t>Cantidad</t>
  </si>
  <si>
    <t>3.Compra de Fertilizante (15-15-15)</t>
  </si>
  <si>
    <t>4. Compra de Insecticida  (Azodrín 60)</t>
  </si>
  <si>
    <t>5. Compra de Fungicida  (Dithane M-45)</t>
  </si>
  <si>
    <t>Costo Variables de Producción de Zapote, 2022 (RD$/ tarea)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</si>
</sst>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"/>
  </numFmts>
  <fonts count="25" x14ac:knownFonts="1">
    <font>
      <sz val="10"/>
      <name val="Arial"/>
    </font>
    <font>
      <sz val="10"/>
      <name val="Arial"/>
      <family val="2"/>
    </font>
    <font>
      <sz val="10"/>
      <name val="Baskerville Old Face"/>
      <family val="1"/>
    </font>
    <font>
      <b/>
      <sz val="10"/>
      <name val="Baskerville Old Face"/>
      <family val="1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color theme="0"/>
      <name val="Baskerville Old Face"/>
      <family val="1"/>
    </font>
    <font>
      <sz val="10"/>
      <color theme="1"/>
      <name val="Baskerville Old Face"/>
      <family val="1"/>
    </font>
    <font>
      <b/>
      <sz val="11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9"/>
      <color theme="0"/>
      <name val="Calibri"/>
      <family val="2"/>
    </font>
    <font>
      <sz val="10"/>
      <color indexed="9"/>
      <name val="Calibri"/>
      <family val="2"/>
    </font>
    <font>
      <b/>
      <sz val="9"/>
      <name val="Arial Narrow"/>
      <family val="2"/>
    </font>
    <font>
      <b/>
      <sz val="12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2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Continuous"/>
    </xf>
    <xf numFmtId="0" fontId="14" fillId="2" borderId="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9" fontId="15" fillId="2" borderId="4" xfId="2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4" fillId="2" borderId="2" xfId="0" applyFont="1" applyFill="1" applyBorder="1"/>
    <xf numFmtId="9" fontId="12" fillId="2" borderId="8" xfId="2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/>
    <xf numFmtId="9" fontId="12" fillId="2" borderId="8" xfId="2" applyFont="1" applyFill="1" applyBorder="1" applyAlignment="1" applyProtection="1">
      <alignment horizontal="center"/>
    </xf>
    <xf numFmtId="0" fontId="14" fillId="2" borderId="0" xfId="0" applyFont="1" applyFill="1"/>
    <xf numFmtId="0" fontId="16" fillId="3" borderId="12" xfId="0" applyFont="1" applyFill="1" applyBorder="1" applyAlignment="1">
      <alignment horizontal="left"/>
    </xf>
    <xf numFmtId="0" fontId="16" fillId="3" borderId="13" xfId="0" applyFont="1" applyFill="1" applyBorder="1"/>
    <xf numFmtId="9" fontId="16" fillId="3" borderId="14" xfId="2" applyFont="1" applyFill="1" applyBorder="1" applyAlignment="1" applyProtection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5" fillId="0" borderId="0" xfId="0" applyFont="1"/>
    <xf numFmtId="0" fontId="0" fillId="2" borderId="0" xfId="0" applyFill="1"/>
    <xf numFmtId="0" fontId="20" fillId="2" borderId="1" xfId="0" applyFont="1" applyFill="1" applyBorder="1" applyAlignment="1">
      <alignment horizontal="left"/>
    </xf>
    <xf numFmtId="0" fontId="21" fillId="2" borderId="0" xfId="0" applyFont="1" applyFill="1"/>
    <xf numFmtId="0" fontId="5" fillId="2" borderId="0" xfId="0" applyFont="1" applyFill="1"/>
    <xf numFmtId="164" fontId="2" fillId="2" borderId="0" xfId="0" applyNumberFormat="1" applyFont="1" applyFill="1"/>
    <xf numFmtId="0" fontId="8" fillId="2" borderId="0" xfId="0" applyFont="1" applyFill="1"/>
    <xf numFmtId="39" fontId="7" fillId="2" borderId="0" xfId="0" applyNumberFormat="1" applyFont="1" applyFill="1"/>
    <xf numFmtId="0" fontId="3" fillId="2" borderId="0" xfId="0" applyFont="1" applyFill="1"/>
    <xf numFmtId="43" fontId="6" fillId="2" borderId="0" xfId="1" applyFont="1" applyFill="1"/>
    <xf numFmtId="43" fontId="6" fillId="2" borderId="0" xfId="0" applyNumberFormat="1" applyFont="1" applyFill="1"/>
    <xf numFmtId="0" fontId="6" fillId="2" borderId="0" xfId="0" applyFont="1" applyFill="1"/>
    <xf numFmtId="0" fontId="22" fillId="2" borderId="0" xfId="0" applyFont="1" applyFill="1"/>
    <xf numFmtId="0" fontId="14" fillId="2" borderId="17" xfId="0" applyFont="1" applyFill="1" applyBorder="1" applyAlignment="1">
      <alignment horizontal="left"/>
    </xf>
    <xf numFmtId="0" fontId="14" fillId="2" borderId="17" xfId="0" applyFont="1" applyFill="1" applyBorder="1"/>
    <xf numFmtId="9" fontId="15" fillId="2" borderId="17" xfId="2" applyFont="1" applyFill="1" applyBorder="1" applyAlignment="1">
      <alignment horizontal="center"/>
    </xf>
    <xf numFmtId="0" fontId="14" fillId="2" borderId="22" xfId="0" applyFont="1" applyFill="1" applyBorder="1" applyAlignment="1">
      <alignment horizontal="left"/>
    </xf>
    <xf numFmtId="0" fontId="14" fillId="2" borderId="21" xfId="0" applyFont="1" applyFill="1" applyBorder="1" applyAlignment="1">
      <alignment horizontal="left"/>
    </xf>
    <xf numFmtId="0" fontId="14" fillId="2" borderId="7" xfId="0" applyFont="1" applyFill="1" applyBorder="1"/>
    <xf numFmtId="9" fontId="15" fillId="2" borderId="8" xfId="2" applyFont="1" applyFill="1" applyBorder="1" applyAlignment="1">
      <alignment horizontal="center"/>
    </xf>
    <xf numFmtId="9" fontId="15" fillId="2" borderId="16" xfId="2" applyFont="1" applyFill="1" applyBorder="1" applyAlignment="1">
      <alignment horizontal="center"/>
    </xf>
    <xf numFmtId="4" fontId="5" fillId="2" borderId="0" xfId="0" applyNumberFormat="1" applyFont="1" applyFill="1"/>
    <xf numFmtId="4" fontId="0" fillId="2" borderId="0" xfId="0" applyNumberFormat="1" applyFill="1"/>
    <xf numFmtId="4" fontId="2" fillId="2" borderId="0" xfId="0" applyNumberFormat="1" applyFont="1" applyFill="1"/>
    <xf numFmtId="4" fontId="9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Continuous"/>
    </xf>
    <xf numFmtId="4" fontId="14" fillId="2" borderId="2" xfId="0" applyNumberFormat="1" applyFont="1" applyFill="1" applyBorder="1" applyAlignment="1">
      <alignment horizontal="center"/>
    </xf>
    <xf numFmtId="4" fontId="21" fillId="2" borderId="0" xfId="0" applyNumberFormat="1" applyFont="1" applyFill="1"/>
    <xf numFmtId="4" fontId="14" fillId="2" borderId="0" xfId="0" applyNumberFormat="1" applyFont="1" applyFill="1"/>
    <xf numFmtId="4" fontId="16" fillId="3" borderId="13" xfId="0" applyNumberFormat="1" applyFont="1" applyFill="1" applyBorder="1"/>
    <xf numFmtId="4" fontId="14" fillId="2" borderId="0" xfId="0" applyNumberFormat="1" applyFont="1" applyFill="1" applyAlignment="1">
      <alignment horizontal="left"/>
    </xf>
    <xf numFmtId="4" fontId="15" fillId="2" borderId="0" xfId="0" applyNumberFormat="1" applyFont="1" applyFill="1" applyAlignment="1">
      <alignment horizontal="left"/>
    </xf>
    <xf numFmtId="4" fontId="15" fillId="2" borderId="0" xfId="0" applyNumberFormat="1" applyFont="1" applyFill="1"/>
    <xf numFmtId="4" fontId="15" fillId="0" borderId="0" xfId="0" applyNumberFormat="1" applyFont="1"/>
    <xf numFmtId="4" fontId="2" fillId="0" borderId="0" xfId="0" applyNumberFormat="1" applyFont="1"/>
    <xf numFmtId="4" fontId="5" fillId="2" borderId="0" xfId="0" applyNumberFormat="1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4" fontId="14" fillId="2" borderId="3" xfId="0" applyNumberFormat="1" applyFont="1" applyFill="1" applyBorder="1" applyAlignment="1">
      <alignment horizontal="center"/>
    </xf>
    <xf numFmtId="4" fontId="14" fillId="2" borderId="7" xfId="0" applyNumberFormat="1" applyFont="1" applyFill="1" applyBorder="1" applyAlignment="1">
      <alignment horizontal="center"/>
    </xf>
    <xf numFmtId="4" fontId="14" fillId="2" borderId="17" xfId="0" applyNumberFormat="1" applyFont="1" applyFill="1" applyBorder="1" applyAlignment="1">
      <alignment horizontal="center"/>
    </xf>
    <xf numFmtId="4" fontId="21" fillId="2" borderId="0" xfId="0" applyNumberFormat="1" applyFont="1" applyFill="1" applyAlignment="1">
      <alignment horizontal="center"/>
    </xf>
    <xf numFmtId="4" fontId="14" fillId="2" borderId="0" xfId="0" applyNumberFormat="1" applyFont="1" applyFill="1" applyAlignment="1">
      <alignment horizontal="center"/>
    </xf>
    <xf numFmtId="4" fontId="16" fillId="3" borderId="13" xfId="0" applyNumberFormat="1" applyFont="1" applyFill="1" applyBorder="1" applyAlignment="1">
      <alignment horizontal="center"/>
    </xf>
    <xf numFmtId="4" fontId="15" fillId="2" borderId="0" xfId="0" applyNumberFormat="1" applyFont="1" applyFill="1" applyAlignment="1">
      <alignment horizontal="center"/>
    </xf>
    <xf numFmtId="4" fontId="15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2" fillId="2" borderId="3" xfId="1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/>
    </xf>
    <xf numFmtId="4" fontId="12" fillId="2" borderId="3" xfId="1" applyNumberFormat="1" applyFont="1" applyFill="1" applyBorder="1" applyAlignment="1" applyProtection="1">
      <alignment horizontal="center"/>
    </xf>
    <xf numFmtId="4" fontId="20" fillId="2" borderId="0" xfId="0" applyNumberFormat="1" applyFont="1" applyFill="1" applyAlignment="1">
      <alignment horizontal="center"/>
    </xf>
    <xf numFmtId="4" fontId="18" fillId="2" borderId="0" xfId="0" applyNumberFormat="1" applyFont="1" applyFill="1" applyAlignment="1">
      <alignment horizontal="center"/>
    </xf>
    <xf numFmtId="4" fontId="12" fillId="2" borderId="2" xfId="1" applyNumberFormat="1" applyFont="1" applyFill="1" applyBorder="1" applyAlignment="1" applyProtection="1">
      <alignment horizontal="center"/>
    </xf>
    <xf numFmtId="4" fontId="3" fillId="2" borderId="0" xfId="1" applyNumberFormat="1" applyFont="1" applyFill="1" applyAlignment="1">
      <alignment horizontal="center"/>
    </xf>
    <xf numFmtId="4" fontId="11" fillId="2" borderId="0" xfId="1" applyNumberFormat="1" applyFont="1" applyFill="1" applyBorder="1" applyAlignment="1">
      <alignment horizontal="center"/>
    </xf>
    <xf numFmtId="4" fontId="12" fillId="2" borderId="2" xfId="1" applyNumberFormat="1" applyFont="1" applyFill="1" applyBorder="1" applyAlignment="1">
      <alignment horizontal="center"/>
    </xf>
    <xf numFmtId="4" fontId="12" fillId="2" borderId="0" xfId="1" applyNumberFormat="1" applyFont="1" applyFill="1" applyBorder="1" applyAlignment="1">
      <alignment horizontal="center"/>
    </xf>
    <xf numFmtId="4" fontId="12" fillId="2" borderId="7" xfId="1" applyNumberFormat="1" applyFont="1" applyFill="1" applyBorder="1" applyAlignment="1">
      <alignment horizontal="center"/>
    </xf>
    <xf numFmtId="4" fontId="12" fillId="2" borderId="17" xfId="1" applyNumberFormat="1" applyFont="1" applyFill="1" applyBorder="1" applyAlignment="1">
      <alignment horizontal="center"/>
    </xf>
    <xf numFmtId="4" fontId="20" fillId="2" borderId="0" xfId="1" applyNumberFormat="1" applyFont="1" applyFill="1" applyBorder="1" applyAlignment="1" applyProtection="1">
      <alignment horizontal="center"/>
    </xf>
    <xf numFmtId="4" fontId="12" fillId="2" borderId="0" xfId="1" applyNumberFormat="1" applyFont="1" applyFill="1" applyBorder="1" applyAlignment="1" applyProtection="1">
      <alignment horizontal="center"/>
    </xf>
    <xf numFmtId="4" fontId="16" fillId="3" borderId="13" xfId="1" applyNumberFormat="1" applyFont="1" applyFill="1" applyBorder="1" applyAlignment="1" applyProtection="1">
      <alignment horizontal="center"/>
    </xf>
    <xf numFmtId="4" fontId="13" fillId="2" borderId="0" xfId="1" applyNumberFormat="1" applyFont="1" applyFill="1" applyAlignment="1">
      <alignment horizontal="center"/>
    </xf>
    <xf numFmtId="4" fontId="13" fillId="0" borderId="0" xfId="1" applyNumberFormat="1" applyFont="1" applyAlignment="1">
      <alignment horizontal="center"/>
    </xf>
    <xf numFmtId="4" fontId="13" fillId="0" borderId="0" xfId="1" applyNumberFormat="1" applyFont="1" applyAlignment="1" applyProtection="1">
      <alignment horizontal="center"/>
    </xf>
    <xf numFmtId="4" fontId="3" fillId="0" borderId="0" xfId="1" applyNumberFormat="1" applyFont="1" applyAlignment="1" applyProtection="1">
      <alignment horizontal="center"/>
    </xf>
    <xf numFmtId="4" fontId="3" fillId="0" borderId="0" xfId="1" applyNumberFormat="1" applyFont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2" fillId="2" borderId="3" xfId="1" applyNumberFormat="1" applyFont="1" applyFill="1" applyBorder="1" applyAlignment="1">
      <alignment horizontal="center"/>
    </xf>
    <xf numFmtId="3" fontId="12" fillId="2" borderId="3" xfId="0" applyNumberFormat="1" applyFont="1" applyFill="1" applyBorder="1" applyAlignment="1">
      <alignment horizontal="center"/>
    </xf>
    <xf numFmtId="3" fontId="12" fillId="2" borderId="3" xfId="1" applyNumberFormat="1" applyFont="1" applyFill="1" applyBorder="1" applyAlignment="1" applyProtection="1">
      <alignment horizontal="center"/>
    </xf>
    <xf numFmtId="3" fontId="14" fillId="2" borderId="7" xfId="0" applyNumberFormat="1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/>
    </xf>
    <xf numFmtId="3" fontId="20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6" fillId="3" borderId="13" xfId="0" applyNumberFormat="1" applyFont="1" applyFill="1" applyBorder="1" applyAlignment="1">
      <alignment horizontal="center"/>
    </xf>
    <xf numFmtId="3" fontId="17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3" fontId="1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4" fontId="20" fillId="2" borderId="18" xfId="0" applyNumberFormat="1" applyFont="1" applyFill="1" applyBorder="1" applyAlignment="1">
      <alignment horizontal="center"/>
    </xf>
    <xf numFmtId="4" fontId="14" fillId="2" borderId="19" xfId="0" applyNumberFormat="1" applyFont="1" applyFill="1" applyBorder="1" applyAlignment="1">
      <alignment horizontal="center"/>
    </xf>
    <xf numFmtId="4" fontId="16" fillId="3" borderId="20" xfId="0" applyNumberFormat="1" applyFont="1" applyFill="1" applyBorder="1" applyAlignment="1">
      <alignment horizontal="center"/>
    </xf>
    <xf numFmtId="4" fontId="17" fillId="2" borderId="0" xfId="0" applyNumberFormat="1" applyFont="1" applyFill="1" applyAlignment="1">
      <alignment horizontal="center"/>
    </xf>
    <xf numFmtId="9" fontId="2" fillId="2" borderId="0" xfId="2" applyFont="1" applyFill="1" applyAlignment="1">
      <alignment horizontal="center"/>
    </xf>
    <xf numFmtId="9" fontId="5" fillId="2" borderId="0" xfId="2" applyFont="1" applyFill="1" applyAlignment="1">
      <alignment horizontal="center"/>
    </xf>
    <xf numFmtId="9" fontId="9" fillId="2" borderId="0" xfId="2" applyFont="1" applyFill="1" applyAlignment="1">
      <alignment horizontal="center" vertical="center"/>
    </xf>
    <xf numFmtId="9" fontId="10" fillId="2" borderId="0" xfId="2" applyFont="1" applyFill="1" applyAlignment="1">
      <alignment horizontal="center"/>
    </xf>
    <xf numFmtId="9" fontId="20" fillId="2" borderId="4" xfId="2" applyFont="1" applyFill="1" applyBorder="1" applyAlignment="1">
      <alignment horizontal="center"/>
    </xf>
    <xf numFmtId="9" fontId="14" fillId="2" borderId="4" xfId="2" applyFont="1" applyFill="1" applyBorder="1" applyAlignment="1">
      <alignment horizontal="center"/>
    </xf>
    <xf numFmtId="9" fontId="15" fillId="2" borderId="0" xfId="2" applyFont="1" applyFill="1" applyAlignment="1">
      <alignment horizontal="center"/>
    </xf>
    <xf numFmtId="9" fontId="15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 wrapText="1"/>
    </xf>
    <xf numFmtId="0" fontId="9" fillId="4" borderId="0" xfId="0" applyFont="1" applyFill="1" applyAlignment="1">
      <alignment horizontal="center" vertical="center"/>
    </xf>
    <xf numFmtId="4" fontId="9" fillId="4" borderId="0" xfId="0" applyNumberFormat="1" applyFont="1" applyFill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9" fontId="9" fillId="4" borderId="0" xfId="2" applyFont="1" applyFill="1" applyAlignment="1">
      <alignment horizontal="center" vertical="center"/>
    </xf>
    <xf numFmtId="0" fontId="11" fillId="4" borderId="9" xfId="0" applyFont="1" applyFill="1" applyBorder="1"/>
    <xf numFmtId="0" fontId="11" fillId="4" borderId="10" xfId="0" applyFont="1" applyFill="1" applyBorder="1" applyAlignment="1">
      <alignment horizontal="center"/>
    </xf>
    <xf numFmtId="4" fontId="11" fillId="4" borderId="10" xfId="0" applyNumberFormat="1" applyFont="1" applyFill="1" applyBorder="1" applyAlignment="1">
      <alignment horizontal="center"/>
    </xf>
    <xf numFmtId="4" fontId="11" fillId="4" borderId="10" xfId="0" applyNumberFormat="1" applyFont="1" applyFill="1" applyBorder="1" applyAlignment="1">
      <alignment horizontal="center" vertical="center"/>
    </xf>
    <xf numFmtId="4" fontId="11" fillId="4" borderId="11" xfId="1" applyNumberFormat="1" applyFont="1" applyFill="1" applyBorder="1" applyAlignment="1" applyProtection="1">
      <alignment horizontal="center" vertical="justify"/>
    </xf>
    <xf numFmtId="3" fontId="11" fillId="4" borderId="10" xfId="0" applyNumberFormat="1" applyFont="1" applyFill="1" applyBorder="1" applyAlignment="1">
      <alignment horizontal="center"/>
    </xf>
    <xf numFmtId="4" fontId="11" fillId="4" borderId="11" xfId="0" applyNumberFormat="1" applyFont="1" applyFill="1" applyBorder="1" applyAlignment="1">
      <alignment horizontal="center"/>
    </xf>
    <xf numFmtId="9" fontId="11" fillId="4" borderId="15" xfId="2" applyFont="1" applyFill="1" applyBorder="1" applyAlignment="1">
      <alignment horizontal="center" vertical="justify"/>
    </xf>
    <xf numFmtId="0" fontId="11" fillId="4" borderId="1" xfId="0" applyFont="1" applyFill="1" applyBorder="1"/>
    <xf numFmtId="0" fontId="11" fillId="4" borderId="2" xfId="0" applyFont="1" applyFill="1" applyBorder="1" applyAlignment="1">
      <alignment horizontal="center"/>
    </xf>
    <xf numFmtId="4" fontId="11" fillId="4" borderId="2" xfId="0" applyNumberFormat="1" applyFont="1" applyFill="1" applyBorder="1" applyAlignment="1">
      <alignment horizontal="center"/>
    </xf>
    <xf numFmtId="4" fontId="11" fillId="4" borderId="2" xfId="0" applyNumberFormat="1" applyFont="1" applyFill="1" applyBorder="1" applyAlignment="1">
      <alignment horizontal="center" vertical="center"/>
    </xf>
    <xf numFmtId="4" fontId="11" fillId="4" borderId="3" xfId="1" applyNumberFormat="1" applyFont="1" applyFill="1" applyBorder="1" applyAlignment="1" applyProtection="1">
      <alignment horizontal="center" vertical="justify"/>
    </xf>
    <xf numFmtId="3" fontId="11" fillId="4" borderId="2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9" fontId="11" fillId="4" borderId="8" xfId="2" applyFont="1" applyFill="1" applyBorder="1" applyAlignment="1">
      <alignment horizontal="center" vertical="justify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4" fontId="11" fillId="4" borderId="6" xfId="0" applyNumberFormat="1" applyFont="1" applyFill="1" applyBorder="1" applyAlignment="1">
      <alignment horizontal="center" vertical="center"/>
    </xf>
    <xf numFmtId="4" fontId="11" fillId="4" borderId="7" xfId="1" applyNumberFormat="1" applyFont="1" applyFill="1" applyBorder="1" applyAlignment="1" applyProtection="1">
      <alignment horizontal="center" vertical="justify"/>
    </xf>
    <xf numFmtId="3" fontId="11" fillId="4" borderId="6" xfId="0" applyNumberFormat="1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/>
    </xf>
    <xf numFmtId="9" fontId="11" fillId="4" borderId="16" xfId="2" applyFont="1" applyFill="1" applyBorder="1" applyAlignment="1">
      <alignment horizontal="center" vertical="justify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0</xdr:rowOff>
    </xdr:from>
    <xdr:to>
      <xdr:col>6</xdr:col>
      <xdr:colOff>409575</xdr:colOff>
      <xdr:row>2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9C7B91-9985-4DD8-84B1-6D6254A3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0"/>
          <a:ext cx="1466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"/>
  <sheetViews>
    <sheetView tabSelected="1" zoomScaleNormal="100" workbookViewId="0">
      <selection activeCell="A4" sqref="A4:L4"/>
    </sheetView>
  </sheetViews>
  <sheetFormatPr baseColWidth="10" defaultColWidth="11" defaultRowHeight="12.75" x14ac:dyDescent="0.2"/>
  <cols>
    <col min="1" max="1" width="32.85546875" style="1" customWidth="1"/>
    <col min="2" max="2" width="7.85546875" style="1" customWidth="1"/>
    <col min="3" max="3" width="9.42578125" style="70" customWidth="1"/>
    <col min="4" max="4" width="9.85546875" style="57" customWidth="1"/>
    <col min="5" max="5" width="8.7109375" style="70" customWidth="1"/>
    <col min="6" max="6" width="10.42578125" style="70" customWidth="1"/>
    <col min="7" max="7" width="10.7109375" style="70" customWidth="1"/>
    <col min="8" max="8" width="10.140625" style="70" customWidth="1"/>
    <col min="9" max="9" width="10.85546875" style="90" customWidth="1"/>
    <col min="10" max="10" width="10.85546875" style="107" customWidth="1"/>
    <col min="11" max="11" width="11.28515625" style="70" customWidth="1"/>
    <col min="12" max="12" width="13.140625" style="120" customWidth="1"/>
    <col min="13" max="19" width="11" style="4"/>
    <col min="20" max="16384" width="11" style="1"/>
  </cols>
  <sheetData>
    <row r="1" spans="1:12" ht="13.5" x14ac:dyDescent="0.25">
      <c r="A1" s="27"/>
      <c r="B1" s="27"/>
      <c r="C1" s="58"/>
      <c r="D1" s="44"/>
      <c r="E1" s="58"/>
      <c r="F1" s="58"/>
      <c r="G1" s="58"/>
      <c r="H1" s="75"/>
      <c r="I1" s="58"/>
      <c r="J1" s="93"/>
      <c r="K1" s="58"/>
      <c r="L1" s="112"/>
    </row>
    <row r="2" spans="1:12" ht="13.5" x14ac:dyDescent="0.25">
      <c r="A2" s="24"/>
      <c r="B2" s="24"/>
      <c r="C2" s="59"/>
      <c r="D2" s="45"/>
      <c r="E2" s="59"/>
      <c r="F2" s="59"/>
      <c r="G2" s="59"/>
      <c r="H2" s="59"/>
      <c r="I2" s="75"/>
      <c r="J2" s="93"/>
      <c r="K2" s="58"/>
      <c r="L2" s="113"/>
    </row>
    <row r="3" spans="1:12" ht="13.5" x14ac:dyDescent="0.25">
      <c r="A3" s="24"/>
      <c r="B3" s="24"/>
      <c r="C3" s="59"/>
      <c r="D3" s="45"/>
      <c r="E3" s="59"/>
      <c r="F3" s="59"/>
      <c r="G3" s="59"/>
      <c r="H3" s="59"/>
      <c r="I3" s="75"/>
      <c r="J3" s="93"/>
      <c r="K3" s="58"/>
      <c r="L3" s="113"/>
    </row>
    <row r="4" spans="1:12" ht="18" customHeight="1" x14ac:dyDescent="0.2">
      <c r="A4" s="121" t="s">
        <v>41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3.5" customHeight="1" x14ac:dyDescent="0.2">
      <c r="A5" s="121" t="s">
        <v>42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2" ht="6.75" customHeight="1" x14ac:dyDescent="0.2">
      <c r="A6" s="4"/>
      <c r="B6" s="4"/>
      <c r="C6" s="60"/>
      <c r="D6" s="46"/>
      <c r="E6" s="60"/>
      <c r="F6" s="60"/>
      <c r="G6" s="60"/>
      <c r="H6" s="60"/>
      <c r="I6" s="77"/>
      <c r="J6" s="94"/>
      <c r="K6" s="60"/>
      <c r="L6" s="112"/>
    </row>
    <row r="7" spans="1:12" ht="16.5" customHeight="1" x14ac:dyDescent="0.2">
      <c r="A7" s="123" t="s">
        <v>49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2" ht="4.5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2" ht="3" customHeight="1" x14ac:dyDescent="0.2">
      <c r="A9" s="128"/>
      <c r="B9" s="128"/>
      <c r="C9" s="129"/>
      <c r="D9" s="129"/>
      <c r="E9" s="129"/>
      <c r="F9" s="129"/>
      <c r="G9" s="129"/>
      <c r="H9" s="129"/>
      <c r="I9" s="129"/>
      <c r="J9" s="130"/>
      <c r="K9" s="129"/>
      <c r="L9" s="131"/>
    </row>
    <row r="10" spans="1:12" ht="6.75" customHeight="1" x14ac:dyDescent="0.2">
      <c r="A10" s="5"/>
      <c r="B10" s="5"/>
      <c r="C10" s="47"/>
      <c r="D10" s="47"/>
      <c r="E10" s="47"/>
      <c r="F10" s="47"/>
      <c r="G10" s="47"/>
      <c r="H10" s="47"/>
      <c r="I10" s="47"/>
      <c r="J10" s="91"/>
      <c r="K10" s="47"/>
      <c r="L10" s="114"/>
    </row>
    <row r="11" spans="1:12" ht="3.75" customHeight="1" thickBot="1" x14ac:dyDescent="0.25">
      <c r="A11" s="6"/>
      <c r="B11" s="6"/>
      <c r="C11" s="61"/>
      <c r="D11" s="48"/>
      <c r="E11" s="61"/>
      <c r="F11" s="61"/>
      <c r="G11" s="61"/>
      <c r="H11" s="61"/>
      <c r="I11" s="78"/>
      <c r="J11" s="95"/>
      <c r="K11" s="61"/>
      <c r="L11" s="115"/>
    </row>
    <row r="12" spans="1:12" ht="6.75" customHeight="1" x14ac:dyDescent="0.2">
      <c r="A12" s="132"/>
      <c r="B12" s="133"/>
      <c r="C12" s="134"/>
      <c r="D12" s="134"/>
      <c r="E12" s="134"/>
      <c r="F12" s="135"/>
      <c r="G12" s="135"/>
      <c r="H12" s="135"/>
      <c r="I12" s="136" t="s">
        <v>24</v>
      </c>
      <c r="J12" s="137"/>
      <c r="K12" s="138"/>
      <c r="L12" s="139" t="s">
        <v>23</v>
      </c>
    </row>
    <row r="13" spans="1:12" ht="13.5" customHeight="1" x14ac:dyDescent="0.2">
      <c r="A13" s="140"/>
      <c r="B13" s="141"/>
      <c r="C13" s="142"/>
      <c r="D13" s="142"/>
      <c r="E13" s="142" t="s">
        <v>0</v>
      </c>
      <c r="F13" s="143" t="s">
        <v>1</v>
      </c>
      <c r="G13" s="143" t="s">
        <v>2</v>
      </c>
      <c r="H13" s="143" t="s">
        <v>3</v>
      </c>
      <c r="I13" s="144"/>
      <c r="J13" s="145" t="s">
        <v>4</v>
      </c>
      <c r="K13" s="146" t="s">
        <v>5</v>
      </c>
      <c r="L13" s="147"/>
    </row>
    <row r="14" spans="1:12" ht="31.5" customHeight="1" thickBot="1" x14ac:dyDescent="0.25">
      <c r="A14" s="148" t="s">
        <v>6</v>
      </c>
      <c r="B14" s="149" t="s">
        <v>7</v>
      </c>
      <c r="C14" s="150" t="s">
        <v>45</v>
      </c>
      <c r="D14" s="150" t="s">
        <v>8</v>
      </c>
      <c r="E14" s="150" t="s">
        <v>9</v>
      </c>
      <c r="F14" s="150" t="s">
        <v>5</v>
      </c>
      <c r="G14" s="150" t="s">
        <v>5</v>
      </c>
      <c r="H14" s="150" t="s">
        <v>5</v>
      </c>
      <c r="I14" s="151"/>
      <c r="J14" s="152" t="s">
        <v>5</v>
      </c>
      <c r="K14" s="153" t="s">
        <v>10</v>
      </c>
      <c r="L14" s="154"/>
    </row>
    <row r="15" spans="1:12" ht="7.5" customHeight="1" x14ac:dyDescent="0.2">
      <c r="A15" s="7"/>
      <c r="B15" s="8"/>
      <c r="C15" s="49"/>
      <c r="D15" s="49"/>
      <c r="E15" s="49"/>
      <c r="F15" s="49"/>
      <c r="G15" s="49"/>
      <c r="H15" s="49"/>
      <c r="I15" s="76"/>
      <c r="J15" s="92"/>
      <c r="K15" s="62"/>
      <c r="L15" s="9"/>
    </row>
    <row r="16" spans="1:12" x14ac:dyDescent="0.2">
      <c r="A16" s="10" t="s">
        <v>11</v>
      </c>
      <c r="B16" s="11"/>
      <c r="C16" s="49"/>
      <c r="D16" s="49"/>
      <c r="E16" s="49"/>
      <c r="F16" s="71">
        <f t="shared" ref="F16:L16" si="0">SUM(F17:F21)</f>
        <v>582.17784975845143</v>
      </c>
      <c r="G16" s="71">
        <f t="shared" si="0"/>
        <v>283.60337305352238</v>
      </c>
      <c r="H16" s="71">
        <f t="shared" si="0"/>
        <v>209.52418064559984</v>
      </c>
      <c r="I16" s="71">
        <f t="shared" si="0"/>
        <v>1075.3054034575737</v>
      </c>
      <c r="J16" s="96">
        <f t="shared" si="0"/>
        <v>5941.1118044650011</v>
      </c>
      <c r="K16" s="71">
        <f t="shared" si="0"/>
        <v>7016.4172079225746</v>
      </c>
      <c r="L16" s="12">
        <f t="shared" si="0"/>
        <v>0.47325115449974342</v>
      </c>
    </row>
    <row r="17" spans="1:14" x14ac:dyDescent="0.2">
      <c r="A17" s="7" t="s">
        <v>25</v>
      </c>
      <c r="B17" s="11"/>
      <c r="C17" s="49">
        <v>8</v>
      </c>
      <c r="D17" s="49" t="s">
        <v>12</v>
      </c>
      <c r="E17" s="49">
        <v>60</v>
      </c>
      <c r="F17" s="49">
        <f>(E17*C17)</f>
        <v>480</v>
      </c>
      <c r="G17" s="49"/>
      <c r="H17" s="49"/>
      <c r="I17" s="79">
        <f>SUM(F17:H17)</f>
        <v>480</v>
      </c>
      <c r="J17" s="92"/>
      <c r="K17" s="62">
        <f>(E17*C17)</f>
        <v>480</v>
      </c>
      <c r="L17" s="9">
        <f>K17/K$42</f>
        <v>3.2375576797710789E-2</v>
      </c>
      <c r="N17" s="28"/>
    </row>
    <row r="18" spans="1:14" x14ac:dyDescent="0.2">
      <c r="A18" s="7" t="s">
        <v>26</v>
      </c>
      <c r="B18" s="11"/>
      <c r="C18" s="49">
        <v>3</v>
      </c>
      <c r="D18" s="49" t="s">
        <v>12</v>
      </c>
      <c r="E18" s="49">
        <v>60</v>
      </c>
      <c r="F18" s="49"/>
      <c r="G18" s="49">
        <f>(E18*C18)</f>
        <v>180</v>
      </c>
      <c r="H18" s="49"/>
      <c r="I18" s="79">
        <f t="shared" ref="I18:I37" si="1">SUM(F18:H18)</f>
        <v>180</v>
      </c>
      <c r="J18" s="92"/>
      <c r="K18" s="62">
        <f>(E18*C18)</f>
        <v>180</v>
      </c>
      <c r="L18" s="9">
        <f>K18/K$42</f>
        <v>1.2140841299141546E-2</v>
      </c>
      <c r="N18" s="28"/>
    </row>
    <row r="19" spans="1:14" x14ac:dyDescent="0.2">
      <c r="A19" s="7" t="s">
        <v>46</v>
      </c>
      <c r="B19" s="11"/>
      <c r="C19" s="49">
        <v>8.4852577087553449E-2</v>
      </c>
      <c r="D19" s="49" t="s">
        <v>13</v>
      </c>
      <c r="E19" s="49">
        <v>1400</v>
      </c>
      <c r="F19" s="49">
        <v>2.3758721584514966</v>
      </c>
      <c r="G19" s="49">
        <v>3.8013954535223946</v>
      </c>
      <c r="H19" s="49">
        <v>3.68260184559982</v>
      </c>
      <c r="I19" s="79">
        <v>9.8598694575737102</v>
      </c>
      <c r="J19" s="92">
        <v>108.93373846500113</v>
      </c>
      <c r="K19" s="62">
        <v>118.79360792257484</v>
      </c>
      <c r="L19" s="9">
        <f>K19/K$42</f>
        <v>8.0125241174468058E-3</v>
      </c>
      <c r="N19" s="28"/>
    </row>
    <row r="20" spans="1:14" x14ac:dyDescent="0.2">
      <c r="A20" s="7" t="s">
        <v>47</v>
      </c>
      <c r="B20" s="11"/>
      <c r="C20" s="49">
        <v>2.0840000000000001</v>
      </c>
      <c r="D20" s="49" t="s">
        <v>14</v>
      </c>
      <c r="E20" s="49">
        <v>2740</v>
      </c>
      <c r="F20" s="49">
        <f>(K20*0.016)</f>
        <v>91.362560000000002</v>
      </c>
      <c r="G20" s="49">
        <f>(K20*0.016)</f>
        <v>91.362560000000002</v>
      </c>
      <c r="H20" s="49">
        <f>(K20*0.033)</f>
        <v>188.43528000000001</v>
      </c>
      <c r="I20" s="79">
        <f t="shared" ref="I20:I21" si="2">SUM(F20:H20)</f>
        <v>371.16039999999998</v>
      </c>
      <c r="J20" s="92">
        <f>(K20*0.935)</f>
        <v>5338.9996000000001</v>
      </c>
      <c r="K20" s="62">
        <f>(E20*C20)</f>
        <v>5710.16</v>
      </c>
      <c r="L20" s="9">
        <f>K20/K$42</f>
        <v>0.38514525751503381</v>
      </c>
      <c r="N20" s="28"/>
    </row>
    <row r="21" spans="1:14" x14ac:dyDescent="0.2">
      <c r="A21" s="7" t="s">
        <v>48</v>
      </c>
      <c r="B21" s="11"/>
      <c r="C21" s="49">
        <v>0.92</v>
      </c>
      <c r="D21" s="49" t="s">
        <v>15</v>
      </c>
      <c r="E21" s="49">
        <v>573.33000000000004</v>
      </c>
      <c r="F21" s="49">
        <f>(K21*0.016)</f>
        <v>8.4394176000000005</v>
      </c>
      <c r="G21" s="49">
        <f>(K21*0.016)</f>
        <v>8.4394176000000005</v>
      </c>
      <c r="H21" s="49">
        <f>(K21*0.033)</f>
        <v>17.406298800000002</v>
      </c>
      <c r="I21" s="79">
        <f t="shared" si="2"/>
        <v>34.285133999999999</v>
      </c>
      <c r="J21" s="92">
        <f>(K21*0.935)</f>
        <v>493.17846600000007</v>
      </c>
      <c r="K21" s="62">
        <f>(E21*C21)</f>
        <v>527.46360000000004</v>
      </c>
      <c r="L21" s="9">
        <f>K21/K$42</f>
        <v>3.5576954770410431E-2</v>
      </c>
      <c r="N21" s="28"/>
    </row>
    <row r="22" spans="1:14" ht="9.75" customHeight="1" x14ac:dyDescent="0.2">
      <c r="A22" s="14"/>
      <c r="B22" s="11"/>
      <c r="C22" s="49"/>
      <c r="D22" s="49"/>
      <c r="E22" s="49"/>
      <c r="F22" s="49"/>
      <c r="G22" s="49"/>
      <c r="H22" s="49"/>
      <c r="I22" s="79"/>
      <c r="J22" s="92"/>
      <c r="K22" s="62"/>
      <c r="L22" s="9"/>
      <c r="N22" s="28"/>
    </row>
    <row r="23" spans="1:14" x14ac:dyDescent="0.2">
      <c r="A23" s="10" t="s">
        <v>16</v>
      </c>
      <c r="B23" s="11"/>
      <c r="C23" s="49"/>
      <c r="D23" s="49"/>
      <c r="E23" s="49"/>
      <c r="F23" s="72">
        <f t="shared" ref="F23:L23" si="3">SUM(F24:F26)</f>
        <v>850</v>
      </c>
      <c r="G23" s="72">
        <f t="shared" si="3"/>
        <v>0</v>
      </c>
      <c r="H23" s="72">
        <f t="shared" si="3"/>
        <v>0</v>
      </c>
      <c r="I23" s="73">
        <f t="shared" si="3"/>
        <v>850</v>
      </c>
      <c r="J23" s="97">
        <f t="shared" si="3"/>
        <v>0</v>
      </c>
      <c r="K23" s="72">
        <f>SUM(K24:K26)</f>
        <v>850</v>
      </c>
      <c r="L23" s="15">
        <f t="shared" si="3"/>
        <v>5.7331750579279528E-2</v>
      </c>
      <c r="N23" s="28"/>
    </row>
    <row r="24" spans="1:14" x14ac:dyDescent="0.2">
      <c r="A24" s="7" t="s">
        <v>27</v>
      </c>
      <c r="B24" s="11"/>
      <c r="C24" s="49">
        <v>1</v>
      </c>
      <c r="D24" s="49" t="s">
        <v>17</v>
      </c>
      <c r="E24" s="49">
        <v>350</v>
      </c>
      <c r="F24" s="49">
        <f>E24*C24</f>
        <v>350</v>
      </c>
      <c r="G24" s="49"/>
      <c r="H24" s="49"/>
      <c r="I24" s="79">
        <f>SUM(F24:H24)</f>
        <v>350</v>
      </c>
      <c r="J24" s="92"/>
      <c r="K24" s="62">
        <f>(E24*C24)</f>
        <v>350</v>
      </c>
      <c r="L24" s="9">
        <f>K24/K$42</f>
        <v>2.3607191414997449E-2</v>
      </c>
      <c r="N24" s="28"/>
    </row>
    <row r="25" spans="1:14" x14ac:dyDescent="0.2">
      <c r="A25" s="7" t="s">
        <v>28</v>
      </c>
      <c r="B25" s="11"/>
      <c r="C25" s="49">
        <v>1</v>
      </c>
      <c r="D25" s="49" t="s">
        <v>17</v>
      </c>
      <c r="E25" s="49">
        <v>250</v>
      </c>
      <c r="F25" s="49">
        <f>E25*C25</f>
        <v>250</v>
      </c>
      <c r="G25" s="49"/>
      <c r="H25" s="49"/>
      <c r="I25" s="79">
        <f>SUM(F25:H25)</f>
        <v>250</v>
      </c>
      <c r="J25" s="92"/>
      <c r="K25" s="62">
        <f>(E25*C25)</f>
        <v>250</v>
      </c>
      <c r="L25" s="9">
        <f>K25/K$42</f>
        <v>1.6862279582141038E-2</v>
      </c>
      <c r="N25" s="28"/>
    </row>
    <row r="26" spans="1:14" x14ac:dyDescent="0.2">
      <c r="A26" s="7" t="s">
        <v>29</v>
      </c>
      <c r="B26" s="11"/>
      <c r="C26" s="49">
        <v>1</v>
      </c>
      <c r="D26" s="49" t="s">
        <v>17</v>
      </c>
      <c r="E26" s="49">
        <v>250</v>
      </c>
      <c r="F26" s="49">
        <f>E26*C26</f>
        <v>250</v>
      </c>
      <c r="G26" s="49"/>
      <c r="H26" s="49"/>
      <c r="I26" s="79">
        <f t="shared" si="1"/>
        <v>250</v>
      </c>
      <c r="J26" s="92"/>
      <c r="K26" s="62">
        <f>(E26*C26)</f>
        <v>250</v>
      </c>
      <c r="L26" s="9">
        <f>K26/K$42</f>
        <v>1.6862279582141038E-2</v>
      </c>
      <c r="N26" s="28"/>
    </row>
    <row r="27" spans="1:14" ht="9.75" customHeight="1" x14ac:dyDescent="0.2">
      <c r="A27" s="14"/>
      <c r="B27" s="11"/>
      <c r="C27" s="49"/>
      <c r="D27" s="49"/>
      <c r="E27" s="49"/>
      <c r="F27" s="49"/>
      <c r="G27" s="49"/>
      <c r="H27" s="49"/>
      <c r="I27" s="79"/>
      <c r="J27" s="92"/>
      <c r="K27" s="62"/>
      <c r="L27" s="9"/>
      <c r="N27" s="28"/>
    </row>
    <row r="28" spans="1:14" x14ac:dyDescent="0.2">
      <c r="A28" s="10" t="s">
        <v>18</v>
      </c>
      <c r="B28" s="11"/>
      <c r="C28" s="49"/>
      <c r="D28" s="49"/>
      <c r="E28" s="49"/>
      <c r="F28" s="73">
        <f t="shared" ref="F28:J28" si="4">SUM(F29:F37)</f>
        <v>849.82385999999997</v>
      </c>
      <c r="G28" s="73">
        <f t="shared" si="4"/>
        <v>282.18245999999999</v>
      </c>
      <c r="H28" s="73">
        <f t="shared" si="4"/>
        <v>61.337400000000002</v>
      </c>
      <c r="I28" s="73">
        <f t="shared" si="4"/>
        <v>1193.3437199999998</v>
      </c>
      <c r="J28" s="98">
        <f t="shared" si="4"/>
        <v>4398.8362799999995</v>
      </c>
      <c r="K28" s="73">
        <f>SUM(K29:K37)</f>
        <v>5592.18</v>
      </c>
      <c r="L28" s="15">
        <f>SUM(L29:L37)</f>
        <v>0.37718761053462985</v>
      </c>
      <c r="N28" s="28"/>
    </row>
    <row r="29" spans="1:14" x14ac:dyDescent="0.2">
      <c r="A29" s="7" t="s">
        <v>30</v>
      </c>
      <c r="B29" s="11"/>
      <c r="C29" s="49">
        <v>0.188</v>
      </c>
      <c r="D29" s="49" t="s">
        <v>19</v>
      </c>
      <c r="E29" s="49">
        <v>600</v>
      </c>
      <c r="F29" s="49">
        <f>(E29*C29)</f>
        <v>112.8</v>
      </c>
      <c r="G29" s="49"/>
      <c r="H29" s="49"/>
      <c r="I29" s="79">
        <f>SUM(F29:H29)</f>
        <v>112.8</v>
      </c>
      <c r="J29" s="92"/>
      <c r="K29" s="62">
        <f t="shared" ref="K29:K36" si="5">(E29*C29)</f>
        <v>112.8</v>
      </c>
      <c r="L29" s="9">
        <f t="shared" ref="L29:L37" si="6">K29/K$42</f>
        <v>7.6082605474620353E-3</v>
      </c>
      <c r="N29" s="28"/>
    </row>
    <row r="30" spans="1:14" x14ac:dyDescent="0.2">
      <c r="A30" s="7" t="s">
        <v>31</v>
      </c>
      <c r="B30" s="11"/>
      <c r="C30" s="49">
        <v>0.22600000000000001</v>
      </c>
      <c r="D30" s="49" t="s">
        <v>19</v>
      </c>
      <c r="E30" s="49">
        <f>+E29</f>
        <v>600</v>
      </c>
      <c r="F30" s="49">
        <f>(K30*0.75)</f>
        <v>101.69999999999999</v>
      </c>
      <c r="G30" s="49">
        <f>(K30*0.25)</f>
        <v>33.9</v>
      </c>
      <c r="H30" s="49"/>
      <c r="I30" s="79">
        <f t="shared" si="1"/>
        <v>135.6</v>
      </c>
      <c r="J30" s="92"/>
      <c r="K30" s="62">
        <f t="shared" si="5"/>
        <v>135.6</v>
      </c>
      <c r="L30" s="9">
        <f t="shared" si="6"/>
        <v>9.1461004453532984E-3</v>
      </c>
      <c r="N30" s="28"/>
    </row>
    <row r="31" spans="1:14" x14ac:dyDescent="0.2">
      <c r="A31" s="7" t="s">
        <v>32</v>
      </c>
      <c r="B31" s="11"/>
      <c r="C31" s="49">
        <v>0.24560000000000001</v>
      </c>
      <c r="D31" s="49" t="s">
        <v>19</v>
      </c>
      <c r="E31" s="49">
        <f t="shared" ref="E31:E37" si="7">+E30</f>
        <v>600</v>
      </c>
      <c r="F31" s="49">
        <f>(E31*C31)</f>
        <v>147.36000000000001</v>
      </c>
      <c r="G31" s="49"/>
      <c r="H31" s="49"/>
      <c r="I31" s="79">
        <f t="shared" si="1"/>
        <v>147.36000000000001</v>
      </c>
      <c r="J31" s="92"/>
      <c r="K31" s="62">
        <f t="shared" si="5"/>
        <v>147.36000000000001</v>
      </c>
      <c r="L31" s="9">
        <f t="shared" si="6"/>
        <v>9.9393020768972131E-3</v>
      </c>
      <c r="N31" s="28"/>
    </row>
    <row r="32" spans="1:14" x14ac:dyDescent="0.2">
      <c r="A32" s="7" t="s">
        <v>33</v>
      </c>
      <c r="B32" s="11"/>
      <c r="C32" s="49">
        <v>5.6000000000000001E-2</v>
      </c>
      <c r="D32" s="49" t="s">
        <v>19</v>
      </c>
      <c r="E32" s="49">
        <f t="shared" si="7"/>
        <v>600</v>
      </c>
      <c r="F32" s="49">
        <f>(E32*C32)/2</f>
        <v>16.8</v>
      </c>
      <c r="G32" s="49">
        <f>(E32*C32)/2</f>
        <v>16.8</v>
      </c>
      <c r="H32" s="49"/>
      <c r="I32" s="79">
        <f>SUM(F32:H32)</f>
        <v>33.6</v>
      </c>
      <c r="J32" s="92"/>
      <c r="K32" s="62">
        <f t="shared" si="5"/>
        <v>33.6</v>
      </c>
      <c r="L32" s="9">
        <f t="shared" si="6"/>
        <v>2.2662903758397554E-3</v>
      </c>
      <c r="N32" s="28"/>
    </row>
    <row r="33" spans="1:19" x14ac:dyDescent="0.2">
      <c r="A33" s="7" t="s">
        <v>34</v>
      </c>
      <c r="B33" s="11"/>
      <c r="C33" s="49">
        <v>1.84</v>
      </c>
      <c r="D33" s="49" t="s">
        <v>19</v>
      </c>
      <c r="E33" s="49">
        <f t="shared" si="7"/>
        <v>600</v>
      </c>
      <c r="F33" s="49">
        <f>(K33*0.014)</f>
        <v>15.456</v>
      </c>
      <c r="G33" s="49">
        <f>(K33*0.028)</f>
        <v>30.911999999999999</v>
      </c>
      <c r="H33" s="49">
        <f>(K33*0.041)</f>
        <v>45.264000000000003</v>
      </c>
      <c r="I33" s="79">
        <f t="shared" si="1"/>
        <v>91.632000000000005</v>
      </c>
      <c r="J33" s="92">
        <f>(K33*0.917)</f>
        <v>1012.3680000000001</v>
      </c>
      <c r="K33" s="62">
        <f t="shared" si="5"/>
        <v>1104</v>
      </c>
      <c r="L33" s="9">
        <f t="shared" si="6"/>
        <v>7.4463826634734817E-2</v>
      </c>
      <c r="N33" s="28"/>
    </row>
    <row r="34" spans="1:19" x14ac:dyDescent="0.2">
      <c r="A34" s="7" t="s">
        <v>35</v>
      </c>
      <c r="B34" s="11"/>
      <c r="C34" s="49">
        <v>0.30099999999999999</v>
      </c>
      <c r="D34" s="49" t="s">
        <v>19</v>
      </c>
      <c r="E34" s="49">
        <f t="shared" si="7"/>
        <v>600</v>
      </c>
      <c r="F34" s="49">
        <f>(K34*0.084)</f>
        <v>15.170400000000001</v>
      </c>
      <c r="G34" s="49">
        <f>(K34*0.089)</f>
        <v>16.073399999999999</v>
      </c>
      <c r="H34" s="49">
        <f>(K34*0.089)</f>
        <v>16.073399999999999</v>
      </c>
      <c r="I34" s="79">
        <f t="shared" si="1"/>
        <v>47.3172</v>
      </c>
      <c r="J34" s="92">
        <f>(K34*0.738)</f>
        <v>133.28279999999998</v>
      </c>
      <c r="K34" s="62">
        <f t="shared" si="5"/>
        <v>180.6</v>
      </c>
      <c r="L34" s="9">
        <f t="shared" si="6"/>
        <v>1.2181310770138684E-2</v>
      </c>
      <c r="M34" s="28"/>
      <c r="N34" s="28"/>
    </row>
    <row r="35" spans="1:19" x14ac:dyDescent="0.2">
      <c r="A35" s="7" t="s">
        <v>36</v>
      </c>
      <c r="B35" s="11"/>
      <c r="C35" s="49">
        <v>2.1120000000000001</v>
      </c>
      <c r="D35" s="49" t="s">
        <v>19</v>
      </c>
      <c r="E35" s="49">
        <f t="shared" si="7"/>
        <v>600</v>
      </c>
      <c r="F35" s="49">
        <f>(K35*0.053)</f>
        <v>67.161600000000007</v>
      </c>
      <c r="G35" s="49">
        <f>(K35*0.071)</f>
        <v>89.971199999999996</v>
      </c>
      <c r="H35" s="49"/>
      <c r="I35" s="79">
        <f t="shared" si="1"/>
        <v>157.1328</v>
      </c>
      <c r="J35" s="92">
        <f>(K35*0.876)</f>
        <v>1110.0672</v>
      </c>
      <c r="K35" s="62">
        <f t="shared" si="5"/>
        <v>1267.2</v>
      </c>
      <c r="L35" s="42">
        <f t="shared" si="6"/>
        <v>8.5471522745956485E-2</v>
      </c>
      <c r="N35" s="28"/>
    </row>
    <row r="36" spans="1:19" x14ac:dyDescent="0.2">
      <c r="A36" s="39" t="s">
        <v>37</v>
      </c>
      <c r="B36" s="13"/>
      <c r="C36" s="62">
        <v>1.1016999999999999</v>
      </c>
      <c r="D36" s="62" t="s">
        <v>19</v>
      </c>
      <c r="E36" s="62">
        <f t="shared" si="7"/>
        <v>600</v>
      </c>
      <c r="F36" s="66">
        <f>(K36*0.143)</f>
        <v>94.525859999999994</v>
      </c>
      <c r="G36" s="62">
        <f>(K36*0.143)</f>
        <v>94.525859999999994</v>
      </c>
      <c r="H36" s="62"/>
      <c r="I36" s="80">
        <f t="shared" si="1"/>
        <v>189.05171999999999</v>
      </c>
      <c r="J36" s="92">
        <f>(K36*0.714)</f>
        <v>471.96827999999999</v>
      </c>
      <c r="K36" s="62">
        <f t="shared" si="5"/>
        <v>661.02</v>
      </c>
      <c r="L36" s="42">
        <f t="shared" si="6"/>
        <v>4.4585216197547468E-2</v>
      </c>
      <c r="N36" s="28"/>
    </row>
    <row r="37" spans="1:19" ht="13.5" thickBot="1" x14ac:dyDescent="0.25">
      <c r="A37" s="40" t="s">
        <v>38</v>
      </c>
      <c r="B37" s="41"/>
      <c r="C37" s="63">
        <v>3.25</v>
      </c>
      <c r="D37" s="63" t="s">
        <v>19</v>
      </c>
      <c r="E37" s="63">
        <f t="shared" si="7"/>
        <v>600</v>
      </c>
      <c r="F37" s="63">
        <f>(K37*0.143)</f>
        <v>278.84999999999997</v>
      </c>
      <c r="G37" s="63"/>
      <c r="H37" s="63"/>
      <c r="I37" s="81">
        <f t="shared" si="1"/>
        <v>278.84999999999997</v>
      </c>
      <c r="J37" s="99">
        <f>(K37)-I37</f>
        <v>1671.15</v>
      </c>
      <c r="K37" s="63">
        <f>(E37*C37)</f>
        <v>1950</v>
      </c>
      <c r="L37" s="43">
        <f t="shared" si="6"/>
        <v>0.13152578074070009</v>
      </c>
      <c r="N37" s="28"/>
    </row>
    <row r="38" spans="1:19" ht="11.25" customHeight="1" thickBot="1" x14ac:dyDescent="0.25">
      <c r="A38" s="36"/>
      <c r="B38" s="37"/>
      <c r="C38" s="64"/>
      <c r="D38" s="64"/>
      <c r="E38" s="64"/>
      <c r="F38" s="64"/>
      <c r="G38" s="64"/>
      <c r="H38" s="64"/>
      <c r="I38" s="82"/>
      <c r="J38" s="100"/>
      <c r="K38" s="64"/>
      <c r="L38" s="38"/>
      <c r="N38" s="28"/>
    </row>
    <row r="39" spans="1:19" ht="16.5" customHeight="1" x14ac:dyDescent="0.2">
      <c r="A39" s="25" t="s">
        <v>20</v>
      </c>
      <c r="B39" s="26"/>
      <c r="C39" s="65"/>
      <c r="D39" s="50"/>
      <c r="E39" s="65"/>
      <c r="F39" s="74">
        <f t="shared" ref="F39:L39" si="8">F16+F23+F28</f>
        <v>2282.0017097584514</v>
      </c>
      <c r="G39" s="74">
        <f t="shared" si="8"/>
        <v>565.78583305352231</v>
      </c>
      <c r="H39" s="74">
        <f t="shared" si="8"/>
        <v>270.86158064559982</v>
      </c>
      <c r="I39" s="83">
        <f t="shared" si="8"/>
        <v>3118.6491234575733</v>
      </c>
      <c r="J39" s="101">
        <f t="shared" si="8"/>
        <v>10339.948084465001</v>
      </c>
      <c r="K39" s="108">
        <f t="shared" si="8"/>
        <v>13458.597207922576</v>
      </c>
      <c r="L39" s="116">
        <f t="shared" si="8"/>
        <v>0.90777051561365285</v>
      </c>
      <c r="M39" s="29"/>
    </row>
    <row r="40" spans="1:19" x14ac:dyDescent="0.2">
      <c r="A40" s="7" t="s">
        <v>21</v>
      </c>
      <c r="B40" s="16"/>
      <c r="C40" s="66"/>
      <c r="D40" s="51"/>
      <c r="E40" s="66"/>
      <c r="F40" s="66">
        <f t="shared" ref="F40:K40" si="9">(F39*0.02)</f>
        <v>45.640034195169029</v>
      </c>
      <c r="G40" s="66">
        <f t="shared" si="9"/>
        <v>11.315716661070446</v>
      </c>
      <c r="H40" s="66">
        <f t="shared" si="9"/>
        <v>5.4172316129119968</v>
      </c>
      <c r="I40" s="84">
        <f t="shared" si="9"/>
        <v>62.372982469151466</v>
      </c>
      <c r="J40" s="102">
        <f t="shared" si="9"/>
        <v>206.79896168930003</v>
      </c>
      <c r="K40" s="109">
        <f t="shared" si="9"/>
        <v>269.17194415845154</v>
      </c>
      <c r="L40" s="117">
        <f>K40/K$42</f>
        <v>1.8155410312273058E-2</v>
      </c>
      <c r="M40" s="30">
        <f>+K40+K41</f>
        <v>1367.393476324934</v>
      </c>
    </row>
    <row r="41" spans="1:19" x14ac:dyDescent="0.2">
      <c r="A41" s="7" t="s">
        <v>39</v>
      </c>
      <c r="B41" s="16"/>
      <c r="C41" s="66"/>
      <c r="D41" s="51"/>
      <c r="E41" s="66"/>
      <c r="F41" s="66">
        <f t="shared" ref="F41:K41" si="10">SUM(F39:F40)*0.08</f>
        <v>186.21133951628963</v>
      </c>
      <c r="G41" s="66">
        <f t="shared" si="10"/>
        <v>46.168123977167426</v>
      </c>
      <c r="H41" s="66">
        <f t="shared" si="10"/>
        <v>22.102304980680948</v>
      </c>
      <c r="I41" s="84">
        <f t="shared" si="10"/>
        <v>254.48176847413797</v>
      </c>
      <c r="J41" s="102">
        <f t="shared" si="10"/>
        <v>843.73976369234401</v>
      </c>
      <c r="K41" s="109">
        <f t="shared" si="10"/>
        <v>1098.2215321664823</v>
      </c>
      <c r="L41" s="117">
        <f>K41/K$42</f>
        <v>7.4074074074074084E-2</v>
      </c>
      <c r="M41" s="29"/>
    </row>
    <row r="42" spans="1:19" s="2" customFormat="1" ht="15" customHeight="1" thickBot="1" x14ac:dyDescent="0.25">
      <c r="A42" s="17" t="s">
        <v>22</v>
      </c>
      <c r="B42" s="18"/>
      <c r="C42" s="67"/>
      <c r="D42" s="52"/>
      <c r="E42" s="67"/>
      <c r="F42" s="67">
        <f t="shared" ref="F42:K42" si="11">SUM(F39:F41)</f>
        <v>2513.85308346991</v>
      </c>
      <c r="G42" s="67">
        <f t="shared" si="11"/>
        <v>623.2696736917602</v>
      </c>
      <c r="H42" s="67">
        <f t="shared" si="11"/>
        <v>298.3811172391928</v>
      </c>
      <c r="I42" s="85">
        <f>SUM(I39:I41)</f>
        <v>3435.5038744008625</v>
      </c>
      <c r="J42" s="103">
        <f>SUM(J39:J41)</f>
        <v>11390.486809846643</v>
      </c>
      <c r="K42" s="110">
        <f t="shared" si="11"/>
        <v>14825.99068424751</v>
      </c>
      <c r="L42" s="19">
        <f>SUM(L39:L41)</f>
        <v>1</v>
      </c>
      <c r="M42" s="31"/>
      <c r="N42" s="31"/>
      <c r="O42" s="31"/>
      <c r="P42" s="31"/>
      <c r="Q42" s="31"/>
      <c r="R42" s="31"/>
      <c r="S42" s="31"/>
    </row>
    <row r="43" spans="1:19" s="3" customFormat="1" ht="16.5" customHeight="1" x14ac:dyDescent="0.2">
      <c r="A43" s="125" t="s">
        <v>43</v>
      </c>
      <c r="B43" s="126"/>
      <c r="C43" s="126"/>
      <c r="D43" s="126"/>
      <c r="E43" s="126"/>
      <c r="F43" s="126"/>
      <c r="G43" s="126"/>
      <c r="H43" s="126"/>
      <c r="I43" s="126"/>
      <c r="J43" s="126"/>
      <c r="K43" s="66"/>
      <c r="L43" s="118"/>
      <c r="M43" s="32"/>
      <c r="N43" s="33"/>
      <c r="O43" s="34"/>
      <c r="P43" s="34"/>
      <c r="Q43" s="34"/>
      <c r="R43" s="34"/>
      <c r="S43" s="34"/>
    </row>
    <row r="44" spans="1:19" s="3" customFormat="1" ht="36.75" customHeight="1" x14ac:dyDescent="0.2">
      <c r="A44" s="127" t="s">
        <v>40</v>
      </c>
      <c r="B44" s="127"/>
      <c r="C44" s="127"/>
      <c r="D44" s="127"/>
      <c r="E44" s="127"/>
      <c r="F44" s="127"/>
      <c r="G44" s="127"/>
      <c r="H44" s="127"/>
      <c r="I44" s="127"/>
      <c r="J44" s="127"/>
      <c r="K44" s="66"/>
      <c r="L44" s="118"/>
      <c r="M44" s="32"/>
      <c r="N44" s="33"/>
      <c r="O44" s="34"/>
      <c r="P44" s="34"/>
      <c r="Q44" s="34"/>
      <c r="R44" s="34"/>
      <c r="S44" s="34"/>
    </row>
    <row r="45" spans="1:19" s="3" customFormat="1" ht="15" customHeight="1" x14ac:dyDescent="0.2">
      <c r="A45" s="35" t="s">
        <v>44</v>
      </c>
      <c r="B45" s="20"/>
      <c r="C45" s="66"/>
      <c r="D45" s="53"/>
      <c r="E45" s="66"/>
      <c r="F45" s="66"/>
      <c r="G45" s="66"/>
      <c r="H45" s="66"/>
      <c r="I45" s="66"/>
      <c r="J45" s="102"/>
      <c r="K45" s="66"/>
      <c r="L45" s="118"/>
      <c r="M45" s="32"/>
      <c r="N45" s="33"/>
      <c r="O45" s="34"/>
      <c r="P45" s="34"/>
      <c r="Q45" s="34"/>
      <c r="R45" s="34"/>
      <c r="S45" s="34"/>
    </row>
    <row r="46" spans="1:19" s="3" customFormat="1" ht="15" customHeight="1" x14ac:dyDescent="0.2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66"/>
      <c r="L46" s="118"/>
      <c r="M46" s="34"/>
      <c r="N46" s="34"/>
      <c r="O46" s="34"/>
      <c r="P46" s="34"/>
      <c r="Q46" s="34"/>
      <c r="R46" s="34"/>
      <c r="S46" s="34"/>
    </row>
    <row r="47" spans="1:19" s="3" customFormat="1" ht="12" customHeight="1" x14ac:dyDescent="0.2">
      <c r="A47" s="16"/>
      <c r="B47" s="16"/>
      <c r="C47" s="66"/>
      <c r="D47" s="51"/>
      <c r="E47" s="66"/>
      <c r="F47" s="66"/>
      <c r="G47" s="66"/>
      <c r="H47" s="66"/>
      <c r="I47" s="66"/>
      <c r="J47" s="95"/>
      <c r="K47" s="111"/>
      <c r="L47" s="118"/>
      <c r="M47" s="34"/>
      <c r="N47" s="34"/>
      <c r="O47" s="34"/>
      <c r="P47" s="34"/>
      <c r="Q47" s="34"/>
      <c r="R47" s="34"/>
      <c r="S47" s="34"/>
    </row>
    <row r="48" spans="1:19" s="3" customFormat="1" ht="13.5" customHeight="1" x14ac:dyDescent="0.2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18"/>
      <c r="M48" s="34"/>
      <c r="N48" s="34"/>
      <c r="O48" s="34"/>
      <c r="P48" s="34"/>
      <c r="Q48" s="34"/>
      <c r="R48" s="34"/>
      <c r="S48" s="34"/>
    </row>
    <row r="49" spans="1:19" s="3" customFormat="1" ht="18" customHeight="1" x14ac:dyDescent="0.2">
      <c r="A49" s="16"/>
      <c r="B49" s="16"/>
      <c r="C49" s="66"/>
      <c r="D49" s="51"/>
      <c r="E49" s="66"/>
      <c r="F49" s="66"/>
      <c r="G49" s="66"/>
      <c r="H49" s="66"/>
      <c r="I49" s="66"/>
      <c r="J49" s="104"/>
      <c r="K49" s="66"/>
      <c r="L49" s="118"/>
      <c r="M49" s="34"/>
      <c r="N49" s="34"/>
      <c r="O49" s="34"/>
      <c r="P49" s="34"/>
      <c r="Q49" s="34"/>
      <c r="R49" s="34"/>
      <c r="S49" s="34"/>
    </row>
    <row r="50" spans="1:19" s="3" customFormat="1" x14ac:dyDescent="0.2">
      <c r="A50" s="16"/>
      <c r="B50" s="16"/>
      <c r="C50" s="66"/>
      <c r="D50" s="51"/>
      <c r="E50" s="66"/>
      <c r="F50" s="66"/>
      <c r="G50" s="66"/>
      <c r="H50" s="66"/>
      <c r="I50" s="66"/>
      <c r="J50" s="102"/>
      <c r="K50" s="66"/>
      <c r="L50" s="118"/>
      <c r="M50" s="34"/>
      <c r="N50" s="34"/>
      <c r="O50" s="34"/>
      <c r="P50" s="34"/>
      <c r="Q50" s="34"/>
      <c r="R50" s="34"/>
      <c r="S50" s="34"/>
    </row>
    <row r="51" spans="1:19" ht="11.25" customHeight="1" x14ac:dyDescent="0.2">
      <c r="A51" s="22"/>
      <c r="B51" s="22"/>
      <c r="C51" s="68"/>
      <c r="D51" s="54"/>
      <c r="E51" s="68"/>
      <c r="F51" s="68"/>
      <c r="G51" s="68"/>
      <c r="H51" s="68"/>
      <c r="I51" s="86"/>
      <c r="J51" s="105"/>
      <c r="K51" s="68"/>
      <c r="L51" s="118"/>
    </row>
    <row r="52" spans="1:19" ht="12.75" customHeight="1" x14ac:dyDescent="0.2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</row>
    <row r="53" spans="1:19" x14ac:dyDescent="0.2">
      <c r="A53" s="21"/>
      <c r="B53" s="21"/>
      <c r="C53" s="68"/>
      <c r="D53" s="55"/>
      <c r="E53" s="68"/>
      <c r="F53" s="68"/>
      <c r="G53" s="68"/>
      <c r="H53" s="68"/>
      <c r="I53" s="86"/>
      <c r="J53" s="105"/>
      <c r="K53" s="68"/>
      <c r="L53" s="118"/>
    </row>
    <row r="54" spans="1:19" x14ac:dyDescent="0.2">
      <c r="A54" s="23"/>
      <c r="B54" s="23"/>
      <c r="C54" s="69"/>
      <c r="D54" s="56"/>
      <c r="E54" s="69"/>
      <c r="F54" s="69"/>
      <c r="G54" s="69"/>
      <c r="H54" s="69"/>
      <c r="I54" s="87"/>
      <c r="J54" s="106"/>
      <c r="K54" s="69"/>
      <c r="L54" s="119"/>
    </row>
    <row r="55" spans="1:19" x14ac:dyDescent="0.2">
      <c r="A55" s="23"/>
      <c r="B55" s="23"/>
      <c r="C55" s="69"/>
      <c r="D55" s="56"/>
      <c r="E55" s="69"/>
      <c r="F55" s="69"/>
      <c r="G55" s="69"/>
      <c r="H55" s="69"/>
      <c r="I55" s="87"/>
      <c r="J55" s="106"/>
      <c r="K55" s="69"/>
      <c r="L55" s="119"/>
    </row>
    <row r="56" spans="1:19" x14ac:dyDescent="0.2">
      <c r="A56" s="23"/>
      <c r="B56" s="23"/>
      <c r="C56" s="69"/>
      <c r="D56" s="56"/>
      <c r="E56" s="69"/>
      <c r="F56" s="69"/>
      <c r="G56" s="69"/>
      <c r="H56" s="69"/>
      <c r="I56" s="87"/>
      <c r="J56" s="106"/>
      <c r="K56" s="69"/>
      <c r="L56" s="119"/>
    </row>
    <row r="57" spans="1:19" x14ac:dyDescent="0.2">
      <c r="A57" s="23"/>
      <c r="B57" s="23"/>
      <c r="C57" s="69"/>
      <c r="D57" s="56"/>
      <c r="E57" s="69"/>
      <c r="F57" s="69"/>
      <c r="G57" s="69"/>
      <c r="H57" s="69"/>
      <c r="I57" s="87"/>
      <c r="J57" s="106"/>
      <c r="K57" s="69"/>
      <c r="L57" s="119"/>
    </row>
    <row r="58" spans="1:19" x14ac:dyDescent="0.2">
      <c r="A58" s="23"/>
      <c r="B58" s="23"/>
      <c r="C58" s="69"/>
      <c r="D58" s="56"/>
      <c r="E58" s="69"/>
      <c r="F58" s="69"/>
      <c r="G58" s="69"/>
      <c r="H58" s="69"/>
      <c r="I58" s="87"/>
      <c r="J58" s="106"/>
      <c r="K58" s="69"/>
      <c r="L58" s="119"/>
    </row>
    <row r="59" spans="1:19" x14ac:dyDescent="0.2">
      <c r="A59" s="23"/>
      <c r="B59" s="23"/>
      <c r="C59" s="69"/>
      <c r="D59" s="56"/>
      <c r="E59" s="69"/>
      <c r="F59" s="69"/>
      <c r="G59" s="69"/>
      <c r="H59" s="69"/>
      <c r="I59" s="87"/>
      <c r="J59" s="106"/>
      <c r="K59" s="69"/>
      <c r="L59" s="119"/>
    </row>
    <row r="60" spans="1:19" x14ac:dyDescent="0.2">
      <c r="A60" s="23"/>
      <c r="B60" s="23"/>
      <c r="C60" s="69"/>
      <c r="D60" s="56"/>
      <c r="E60" s="69"/>
      <c r="F60" s="69"/>
      <c r="G60" s="69"/>
      <c r="H60" s="69"/>
      <c r="I60" s="87"/>
      <c r="J60" s="106"/>
      <c r="K60" s="69"/>
      <c r="L60" s="119"/>
    </row>
    <row r="61" spans="1:19" x14ac:dyDescent="0.2">
      <c r="A61" s="23"/>
      <c r="B61" s="23"/>
      <c r="C61" s="69"/>
      <c r="D61" s="56"/>
      <c r="E61" s="69"/>
      <c r="F61" s="69"/>
      <c r="G61" s="69"/>
      <c r="H61" s="69"/>
      <c r="I61" s="87"/>
      <c r="J61" s="106"/>
      <c r="K61" s="69"/>
      <c r="L61" s="119"/>
    </row>
    <row r="62" spans="1:19" x14ac:dyDescent="0.2">
      <c r="A62" s="23"/>
      <c r="B62" s="23"/>
      <c r="C62" s="69"/>
      <c r="D62" s="56"/>
      <c r="E62" s="69"/>
      <c r="F62" s="69"/>
      <c r="G62" s="69"/>
      <c r="H62" s="69"/>
      <c r="I62" s="87"/>
      <c r="J62" s="106"/>
      <c r="K62" s="69"/>
      <c r="L62" s="119"/>
    </row>
    <row r="63" spans="1:19" x14ac:dyDescent="0.2">
      <c r="A63" s="23"/>
      <c r="B63" s="23"/>
      <c r="C63" s="69"/>
      <c r="D63" s="56"/>
      <c r="E63" s="69"/>
      <c r="F63" s="69"/>
      <c r="G63" s="69"/>
      <c r="H63" s="69"/>
      <c r="I63" s="87"/>
      <c r="J63" s="106"/>
      <c r="K63" s="69"/>
      <c r="L63" s="119"/>
    </row>
    <row r="64" spans="1:19" x14ac:dyDescent="0.2">
      <c r="A64" s="23"/>
      <c r="B64" s="23"/>
      <c r="C64" s="69"/>
      <c r="D64" s="56"/>
      <c r="E64" s="69"/>
      <c r="F64" s="69"/>
      <c r="G64" s="69"/>
      <c r="H64" s="69"/>
      <c r="I64" s="87"/>
      <c r="J64" s="106"/>
      <c r="K64" s="69"/>
      <c r="L64" s="119"/>
    </row>
    <row r="65" spans="1:12" x14ac:dyDescent="0.2">
      <c r="A65" s="23"/>
      <c r="B65" s="23"/>
      <c r="C65" s="69"/>
      <c r="D65" s="56"/>
      <c r="E65" s="69"/>
      <c r="F65" s="69"/>
      <c r="G65" s="69"/>
      <c r="H65" s="69"/>
      <c r="I65" s="87"/>
      <c r="J65" s="106"/>
      <c r="K65" s="69"/>
      <c r="L65" s="119"/>
    </row>
    <row r="66" spans="1:12" x14ac:dyDescent="0.2">
      <c r="A66" s="23"/>
      <c r="B66" s="23"/>
      <c r="C66" s="69"/>
      <c r="D66" s="56"/>
      <c r="E66" s="69"/>
      <c r="F66" s="69"/>
      <c r="G66" s="69"/>
      <c r="H66" s="69"/>
      <c r="I66" s="87"/>
      <c r="J66" s="106"/>
      <c r="K66" s="69"/>
      <c r="L66" s="119"/>
    </row>
    <row r="67" spans="1:12" x14ac:dyDescent="0.2">
      <c r="A67" s="23"/>
      <c r="B67" s="23"/>
      <c r="C67" s="69"/>
      <c r="D67" s="56"/>
      <c r="E67" s="69"/>
      <c r="F67" s="69"/>
      <c r="G67" s="69"/>
      <c r="H67" s="69"/>
      <c r="I67" s="87"/>
      <c r="J67" s="106"/>
      <c r="K67" s="69"/>
      <c r="L67" s="119"/>
    </row>
    <row r="68" spans="1:12" x14ac:dyDescent="0.2">
      <c r="A68" s="23"/>
      <c r="B68" s="23"/>
      <c r="C68" s="69"/>
      <c r="D68" s="56"/>
      <c r="E68" s="69"/>
      <c r="F68" s="69"/>
      <c r="G68" s="69"/>
      <c r="H68" s="69"/>
      <c r="I68" s="88"/>
      <c r="J68" s="106"/>
      <c r="K68" s="69"/>
      <c r="L68" s="119"/>
    </row>
    <row r="69" spans="1:12" x14ac:dyDescent="0.2">
      <c r="A69" s="23"/>
      <c r="B69" s="23"/>
      <c r="C69" s="69"/>
      <c r="D69" s="56"/>
      <c r="E69" s="69"/>
      <c r="F69" s="69"/>
      <c r="G69" s="69"/>
      <c r="H69" s="69"/>
      <c r="I69" s="88"/>
      <c r="J69" s="106"/>
      <c r="K69" s="69"/>
      <c r="L69" s="119"/>
    </row>
    <row r="70" spans="1:12" x14ac:dyDescent="0.2">
      <c r="A70" s="23"/>
      <c r="B70" s="23"/>
      <c r="C70" s="69"/>
      <c r="D70" s="56"/>
      <c r="E70" s="69"/>
      <c r="F70" s="69"/>
      <c r="G70" s="69"/>
      <c r="H70" s="69"/>
      <c r="I70" s="88"/>
      <c r="J70" s="106"/>
      <c r="K70" s="69"/>
      <c r="L70" s="119"/>
    </row>
    <row r="71" spans="1:12" x14ac:dyDescent="0.2">
      <c r="A71" s="23"/>
      <c r="B71" s="23"/>
      <c r="C71" s="69"/>
      <c r="D71" s="56"/>
      <c r="E71" s="69"/>
      <c r="F71" s="69"/>
      <c r="G71" s="69"/>
      <c r="H71" s="69"/>
      <c r="I71" s="88"/>
      <c r="J71" s="106"/>
      <c r="K71" s="69"/>
      <c r="L71" s="119"/>
    </row>
    <row r="72" spans="1:12" x14ac:dyDescent="0.2">
      <c r="A72" s="23"/>
      <c r="B72" s="23"/>
      <c r="C72" s="69"/>
      <c r="D72" s="56"/>
      <c r="E72" s="69"/>
      <c r="F72" s="69"/>
      <c r="G72" s="69"/>
      <c r="H72" s="69"/>
      <c r="I72" s="88"/>
      <c r="J72" s="106"/>
      <c r="K72" s="69"/>
      <c r="L72" s="119"/>
    </row>
    <row r="73" spans="1:12" x14ac:dyDescent="0.2">
      <c r="A73" s="23"/>
      <c r="B73" s="23"/>
      <c r="C73" s="69"/>
      <c r="D73" s="56"/>
      <c r="E73" s="69"/>
      <c r="F73" s="69"/>
      <c r="G73" s="69"/>
      <c r="H73" s="69"/>
      <c r="I73" s="88"/>
      <c r="J73" s="106"/>
      <c r="K73" s="69"/>
      <c r="L73" s="119"/>
    </row>
    <row r="74" spans="1:12" x14ac:dyDescent="0.2">
      <c r="A74" s="23"/>
      <c r="B74" s="23"/>
      <c r="C74" s="69"/>
      <c r="D74" s="56"/>
      <c r="E74" s="69"/>
      <c r="F74" s="69"/>
      <c r="G74" s="69"/>
      <c r="H74" s="69"/>
      <c r="I74" s="88"/>
      <c r="J74" s="106"/>
      <c r="K74" s="69"/>
      <c r="L74" s="119"/>
    </row>
    <row r="75" spans="1:12" x14ac:dyDescent="0.2">
      <c r="A75" s="23"/>
      <c r="B75" s="23"/>
      <c r="C75" s="69"/>
      <c r="D75" s="56"/>
      <c r="E75" s="69"/>
      <c r="F75" s="69"/>
      <c r="G75" s="69"/>
      <c r="H75" s="69"/>
      <c r="I75" s="88"/>
      <c r="J75" s="106"/>
      <c r="K75" s="69"/>
      <c r="L75" s="119"/>
    </row>
    <row r="76" spans="1:12" x14ac:dyDescent="0.2">
      <c r="A76" s="23"/>
      <c r="B76" s="23"/>
      <c r="C76" s="69"/>
      <c r="D76" s="56"/>
      <c r="E76" s="69"/>
      <c r="F76" s="69"/>
      <c r="G76" s="69"/>
      <c r="H76" s="69"/>
      <c r="I76" s="88"/>
      <c r="J76" s="106"/>
      <c r="K76" s="69"/>
      <c r="L76" s="119"/>
    </row>
    <row r="77" spans="1:12" x14ac:dyDescent="0.2">
      <c r="A77" s="23"/>
      <c r="B77" s="23"/>
      <c r="C77" s="69"/>
      <c r="D77" s="56"/>
      <c r="E77" s="69"/>
      <c r="F77" s="69"/>
      <c r="G77" s="69"/>
      <c r="H77" s="69"/>
      <c r="I77" s="88"/>
      <c r="J77" s="106"/>
      <c r="K77" s="69"/>
      <c r="L77" s="119"/>
    </row>
    <row r="78" spans="1:12" x14ac:dyDescent="0.2">
      <c r="A78" s="23"/>
      <c r="B78" s="23"/>
      <c r="C78" s="69"/>
      <c r="D78" s="56"/>
      <c r="E78" s="69"/>
      <c r="F78" s="69"/>
      <c r="G78" s="69"/>
      <c r="H78" s="69"/>
      <c r="I78" s="88"/>
      <c r="J78" s="106"/>
      <c r="K78" s="69"/>
      <c r="L78" s="119"/>
    </row>
    <row r="79" spans="1:12" x14ac:dyDescent="0.2">
      <c r="A79" s="23"/>
      <c r="B79" s="23"/>
      <c r="C79" s="69"/>
      <c r="D79" s="56"/>
      <c r="E79" s="69"/>
      <c r="F79" s="69"/>
      <c r="G79" s="69"/>
      <c r="H79" s="69"/>
      <c r="I79" s="88"/>
      <c r="J79" s="106"/>
      <c r="K79" s="69"/>
      <c r="L79" s="119"/>
    </row>
    <row r="80" spans="1:12" x14ac:dyDescent="0.2">
      <c r="A80" s="23"/>
      <c r="B80" s="23"/>
      <c r="C80" s="69"/>
      <c r="D80" s="56"/>
      <c r="E80" s="69"/>
      <c r="F80" s="69"/>
      <c r="G80" s="69"/>
      <c r="H80" s="69"/>
      <c r="I80" s="88"/>
      <c r="J80" s="106"/>
      <c r="K80" s="69"/>
      <c r="L80" s="119"/>
    </row>
    <row r="81" spans="1:12" x14ac:dyDescent="0.2">
      <c r="A81" s="23"/>
      <c r="B81" s="23"/>
      <c r="C81" s="69"/>
      <c r="D81" s="56"/>
      <c r="E81" s="69"/>
      <c r="F81" s="69"/>
      <c r="G81" s="69"/>
      <c r="H81" s="69"/>
      <c r="I81" s="88"/>
      <c r="J81" s="106"/>
      <c r="K81" s="69"/>
      <c r="L81" s="119"/>
    </row>
    <row r="82" spans="1:12" x14ac:dyDescent="0.2">
      <c r="A82" s="23"/>
      <c r="B82" s="23"/>
      <c r="C82" s="69"/>
      <c r="D82" s="56"/>
      <c r="E82" s="69"/>
      <c r="F82" s="69"/>
      <c r="G82" s="69"/>
      <c r="H82" s="69"/>
      <c r="I82" s="88"/>
      <c r="J82" s="106"/>
      <c r="K82" s="69"/>
      <c r="L82" s="119"/>
    </row>
    <row r="83" spans="1:12" x14ac:dyDescent="0.2">
      <c r="A83" s="23"/>
      <c r="B83" s="23"/>
      <c r="C83" s="69"/>
      <c r="D83" s="56"/>
      <c r="E83" s="69"/>
      <c r="F83" s="69"/>
      <c r="G83" s="69"/>
      <c r="H83" s="69"/>
      <c r="I83" s="88"/>
      <c r="J83" s="106"/>
      <c r="K83" s="69"/>
      <c r="L83" s="119"/>
    </row>
    <row r="84" spans="1:12" x14ac:dyDescent="0.2">
      <c r="A84" s="23"/>
      <c r="B84" s="23"/>
      <c r="C84" s="69"/>
      <c r="D84" s="56"/>
      <c r="E84" s="69"/>
      <c r="F84" s="69"/>
      <c r="G84" s="69"/>
      <c r="H84" s="69"/>
      <c r="I84" s="88"/>
      <c r="J84" s="106"/>
      <c r="K84" s="69"/>
      <c r="L84" s="119"/>
    </row>
    <row r="85" spans="1:12" x14ac:dyDescent="0.2">
      <c r="A85" s="23"/>
      <c r="B85" s="23"/>
      <c r="C85" s="69"/>
      <c r="D85" s="56"/>
      <c r="E85" s="69"/>
      <c r="F85" s="69"/>
      <c r="G85" s="69"/>
      <c r="H85" s="69"/>
      <c r="I85" s="88"/>
      <c r="J85" s="106"/>
      <c r="K85" s="69"/>
      <c r="L85" s="119"/>
    </row>
    <row r="86" spans="1:12" x14ac:dyDescent="0.2">
      <c r="I86" s="89"/>
    </row>
    <row r="87" spans="1:12" x14ac:dyDescent="0.2">
      <c r="I87" s="89"/>
    </row>
    <row r="88" spans="1:12" x14ac:dyDescent="0.2">
      <c r="I88" s="89"/>
    </row>
    <row r="89" spans="1:12" x14ac:dyDescent="0.2">
      <c r="I89" s="89"/>
    </row>
  </sheetData>
  <mergeCells count="11">
    <mergeCell ref="A4:L4"/>
    <mergeCell ref="A5:L5"/>
    <mergeCell ref="A52:L52"/>
    <mergeCell ref="L12:L14"/>
    <mergeCell ref="A7:L7"/>
    <mergeCell ref="A8:L8"/>
    <mergeCell ref="I12:I14"/>
    <mergeCell ref="A43:J43"/>
    <mergeCell ref="A46:J46"/>
    <mergeCell ref="A48:K48"/>
    <mergeCell ref="A44:J44"/>
  </mergeCells>
  <phoneticPr fontId="4" type="noConversion"/>
  <pageMargins left="1.2204724409448819" right="0.35433070866141736" top="0.55118110236220474" bottom="0.35433070866141736" header="0.11811023622047245" footer="0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Ysabel Calderon</cp:lastModifiedBy>
  <cp:lastPrinted>2017-04-25T17:26:59Z</cp:lastPrinted>
  <dcterms:created xsi:type="dcterms:W3CDTF">2007-12-07T17:04:43Z</dcterms:created>
  <dcterms:modified xsi:type="dcterms:W3CDTF">2024-05-08T14:31:55Z</dcterms:modified>
</cp:coreProperties>
</file>