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'Hoja1'!$A$6:$K$52</definedName>
  </definedNames>
  <calcPr fullCalcOnLoad="1"/>
</workbook>
</file>

<file path=xl/sharedStrings.xml><?xml version="1.0" encoding="utf-8"?>
<sst xmlns="http://schemas.openxmlformats.org/spreadsheetml/2006/main" count="87" uniqueCount="52">
  <si>
    <t>Actividad</t>
  </si>
  <si>
    <t>Unidad</t>
  </si>
  <si>
    <t xml:space="preserve">Valor </t>
  </si>
  <si>
    <t>1er. Año</t>
  </si>
  <si>
    <t>2do. Año</t>
  </si>
  <si>
    <t>3er. Año</t>
  </si>
  <si>
    <t>4-10 Año</t>
  </si>
  <si>
    <t>Costo</t>
  </si>
  <si>
    <t>Total</t>
  </si>
  <si>
    <t>1- INSUMOS</t>
  </si>
  <si>
    <t>Plantas</t>
  </si>
  <si>
    <t>Quintal</t>
  </si>
  <si>
    <t>Litro</t>
  </si>
  <si>
    <t>Kilo</t>
  </si>
  <si>
    <t>2-  PREPARACION DEL TERRENO</t>
  </si>
  <si>
    <t>Tarea</t>
  </si>
  <si>
    <t>-</t>
  </si>
  <si>
    <t>3-  MANO DE OBRA</t>
  </si>
  <si>
    <t>Hom-Día</t>
  </si>
  <si>
    <t xml:space="preserve">  SUBTOTAL </t>
  </si>
  <si>
    <t xml:space="preserve">  GASTOS ADMINISTRATIVOS.(2%)</t>
  </si>
  <si>
    <t xml:space="preserve">  TOTAL GENERAL</t>
  </si>
  <si>
    <t>Unitario</t>
  </si>
  <si>
    <t>Participación (%) por Actividad</t>
  </si>
  <si>
    <t>Total Costo Fomento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</si>
  <si>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</si>
  <si>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 Compra de Plántulas de Siembra</t>
  </si>
  <si>
    <t>2. Compra para la Resiembra</t>
  </si>
  <si>
    <t>1. Corte (Mecanizado)</t>
  </si>
  <si>
    <t>2.Cruce (Mecanizado)</t>
  </si>
  <si>
    <t>3.Rastra (Mecanicado)</t>
  </si>
  <si>
    <t>1.  Marcado y Alineación</t>
  </si>
  <si>
    <t>2. Transporte de Plantas</t>
  </si>
  <si>
    <t>3. Construcción de Hoyos Siembra</t>
  </si>
  <si>
    <t>4. Construccion de Hoyos Resiembra</t>
  </si>
  <si>
    <t>5.Transporte de Fertilizantes</t>
  </si>
  <si>
    <t>6. Aplicación de Fertilizantes</t>
  </si>
  <si>
    <t>7. Aplicación de Pesticidas</t>
  </si>
  <si>
    <t>8. Desyerbos</t>
  </si>
  <si>
    <t>9.Deschuponado y Podas</t>
  </si>
  <si>
    <t>10. Recolección y Empaque</t>
  </si>
  <si>
    <t xml:space="preserve">  PAGOS INTERESES 8.0% ANUAL (12 meses 8.0% )</t>
  </si>
  <si>
    <t>Cantidad</t>
  </si>
  <si>
    <t>Viceministerio de Planificación Sectorial Agropecuaria</t>
  </si>
  <si>
    <t>Departamento de Economía Agropecuaria y Estadísticas</t>
  </si>
  <si>
    <t>Nota:</t>
  </si>
  <si>
    <r>
      <rPr>
        <b/>
        <sz val="9"/>
        <rFont val="Calibri"/>
        <family val="2"/>
      </rPr>
      <t xml:space="preserve">Fuente:  </t>
    </r>
    <r>
      <rPr>
        <sz val="9"/>
        <rFont val="Calibri"/>
        <family val="2"/>
      </rPr>
      <t>Ministerio de Agricultura, Departamento de Economía Agropecuaria y Estadísticas.</t>
    </r>
  </si>
  <si>
    <t>3. Compra de Fertilizante  (15-15-15)</t>
  </si>
  <si>
    <t>4.Compra de Insecticida CURACRON</t>
  </si>
  <si>
    <t>5. Compra de Fungicida (BENOMIL)</t>
  </si>
  <si>
    <t>Costos Variables de Producción de Toronja, 2022 (RD$/ tarea)</t>
  </si>
  <si>
    <t>Los coeficientes utilizados en la estimación de los costos de producción fueron, actualizados por entrevistas a productores y tecnicos de la regional Sur en el período 2020-22.  Se han actualizado anualmente el precio de los insumos (pesticidas, agua y combustible), mano de obra,  actividades de preparación de  terreno y tasa de interés. Precios de los insumos actualizados a marzo 2022.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</si>
</sst>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.00_)"/>
    <numFmt numFmtId="188" formatCode="0.0000_)"/>
    <numFmt numFmtId="189" formatCode="_(* #,##0.0_);_(* \(#,##0.0\);_(* &quot;-&quot;??_);_(@_)"/>
    <numFmt numFmtId="190" formatCode="_(* #,##0_);_(* \(#,##0\);_(* &quot;-&quot;??_);_(@_)"/>
    <numFmt numFmtId="191" formatCode="#,##0.0_);\(#,##0.0\)"/>
    <numFmt numFmtId="192" formatCode="_(* #,##0.0000_);_(* \(#,##0.0000\);_(* &quot;-&quot;??_);_(@_)"/>
    <numFmt numFmtId="193" formatCode="#,##0.00_ ;\-#,##0.00\ "/>
    <numFmt numFmtId="194" formatCode="0_)"/>
    <numFmt numFmtId="195" formatCode="0.000"/>
  </numFmts>
  <fonts count="60">
    <font>
      <sz val="10"/>
      <name val="Arial"/>
      <family val="0"/>
    </font>
    <font>
      <sz val="10"/>
      <color indexed="8"/>
      <name val="Baskerville Old Face"/>
      <family val="1"/>
    </font>
    <font>
      <sz val="10"/>
      <name val="Baskerville Old Face"/>
      <family val="1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9"/>
      <color indexed="9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11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Calibri"/>
      <family val="2"/>
    </font>
    <font>
      <sz val="10"/>
      <color theme="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6998906135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6" fillId="33" borderId="0" xfId="0" applyFont="1" applyFill="1" applyBorder="1" applyAlignment="1">
      <alignment vertical="center"/>
    </xf>
    <xf numFmtId="0" fontId="27" fillId="33" borderId="0" xfId="0" applyFont="1" applyFill="1" applyAlignment="1">
      <alignment/>
    </xf>
    <xf numFmtId="0" fontId="27" fillId="0" borderId="0" xfId="0" applyFont="1" applyAlignment="1">
      <alignment/>
    </xf>
    <xf numFmtId="0" fontId="7" fillId="0" borderId="10" xfId="0" applyFont="1" applyBorder="1" applyAlignment="1" applyProtection="1">
      <alignment horizontal="fill"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8" fillId="33" borderId="10" xfId="0" applyFont="1" applyFill="1" applyBorder="1" applyAlignment="1" applyProtection="1">
      <alignment horizontal="left"/>
      <protection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 applyProtection="1">
      <alignment horizontal="left"/>
      <protection/>
    </xf>
    <xf numFmtId="0" fontId="8" fillId="33" borderId="0" xfId="0" applyFont="1" applyFill="1" applyAlignment="1">
      <alignment/>
    </xf>
    <xf numFmtId="0" fontId="8" fillId="33" borderId="0" xfId="0" applyNumberFormat="1" applyFont="1" applyFill="1" applyAlignment="1">
      <alignment/>
    </xf>
    <xf numFmtId="0" fontId="54" fillId="34" borderId="12" xfId="0" applyFont="1" applyFill="1" applyBorder="1" applyAlignment="1" applyProtection="1">
      <alignment horizontal="left"/>
      <protection/>
    </xf>
    <xf numFmtId="0" fontId="0" fillId="33" borderId="0" xfId="0" applyFill="1" applyAlignment="1">
      <alignment/>
    </xf>
    <xf numFmtId="0" fontId="29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31" fillId="33" borderId="0" xfId="0" applyFont="1" applyFill="1" applyAlignment="1">
      <alignment/>
    </xf>
    <xf numFmtId="0" fontId="1" fillId="33" borderId="0" xfId="0" applyFont="1" applyFill="1" applyAlignment="1">
      <alignment/>
    </xf>
    <xf numFmtId="187" fontId="27" fillId="33" borderId="0" xfId="0" applyNumberFormat="1" applyFont="1" applyFill="1" applyAlignment="1">
      <alignment/>
    </xf>
    <xf numFmtId="39" fontId="55" fillId="33" borderId="0" xfId="0" applyNumberFormat="1" applyFont="1" applyFill="1" applyAlignment="1">
      <alignment/>
    </xf>
    <xf numFmtId="43" fontId="4" fillId="33" borderId="0" xfId="47" applyFont="1" applyFill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56" fillId="33" borderId="11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>
      <alignment/>
    </xf>
    <xf numFmtId="0" fontId="8" fillId="33" borderId="13" xfId="0" applyFont="1" applyFill="1" applyBorder="1" applyAlignment="1" applyProtection="1">
      <alignment horizontal="left"/>
      <protection/>
    </xf>
    <xf numFmtId="4" fontId="4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4" fontId="2" fillId="33" borderId="0" xfId="0" applyNumberFormat="1" applyFont="1" applyFill="1" applyBorder="1" applyAlignment="1">
      <alignment/>
    </xf>
    <xf numFmtId="4" fontId="8" fillId="33" borderId="0" xfId="0" applyNumberFormat="1" applyFont="1" applyFill="1" applyBorder="1" applyAlignment="1">
      <alignment/>
    </xf>
    <xf numFmtId="4" fontId="8" fillId="33" borderId="0" xfId="0" applyNumberFormat="1" applyFont="1" applyFill="1" applyAlignment="1">
      <alignment/>
    </xf>
    <xf numFmtId="4" fontId="27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4" fillId="33" borderId="0" xfId="0" applyNumberFormat="1" applyFont="1" applyFill="1" applyAlignment="1">
      <alignment horizontal="center"/>
    </xf>
    <xf numFmtId="4" fontId="0" fillId="33" borderId="0" xfId="0" applyNumberFormat="1" applyFill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4" fontId="26" fillId="33" borderId="0" xfId="0" applyNumberFormat="1" applyFont="1" applyFill="1" applyBorder="1" applyAlignment="1">
      <alignment horizontal="center" vertical="center"/>
    </xf>
    <xf numFmtId="4" fontId="7" fillId="0" borderId="14" xfId="0" applyNumberFormat="1" applyFont="1" applyBorder="1" applyAlignment="1" applyProtection="1">
      <alignment horizontal="center"/>
      <protection/>
    </xf>
    <xf numFmtId="4" fontId="8" fillId="33" borderId="14" xfId="0" applyNumberFormat="1" applyFont="1" applyFill="1" applyBorder="1" applyAlignment="1">
      <alignment horizontal="center"/>
    </xf>
    <xf numFmtId="4" fontId="8" fillId="33" borderId="14" xfId="47" applyNumberFormat="1" applyFont="1" applyFill="1" applyBorder="1" applyAlignment="1" applyProtection="1">
      <alignment horizontal="center"/>
      <protection/>
    </xf>
    <xf numFmtId="4" fontId="8" fillId="33" borderId="14" xfId="0" applyNumberFormat="1" applyFont="1" applyFill="1" applyBorder="1" applyAlignment="1" applyProtection="1">
      <alignment horizontal="center"/>
      <protection/>
    </xf>
    <xf numFmtId="4" fontId="8" fillId="33" borderId="13" xfId="0" applyNumberFormat="1" applyFont="1" applyFill="1" applyBorder="1" applyAlignment="1" applyProtection="1">
      <alignment horizontal="center"/>
      <protection/>
    </xf>
    <xf numFmtId="4" fontId="57" fillId="33" borderId="0" xfId="0" applyNumberFormat="1" applyFont="1" applyFill="1" applyBorder="1" applyAlignment="1">
      <alignment horizontal="center"/>
    </xf>
    <xf numFmtId="4" fontId="8" fillId="33" borderId="0" xfId="0" applyNumberFormat="1" applyFont="1" applyFill="1" applyBorder="1" applyAlignment="1">
      <alignment horizontal="center"/>
    </xf>
    <xf numFmtId="4" fontId="54" fillId="34" borderId="15" xfId="0" applyNumberFormat="1" applyFont="1" applyFill="1" applyBorder="1" applyAlignment="1">
      <alignment horizontal="center"/>
    </xf>
    <xf numFmtId="4" fontId="8" fillId="33" borderId="0" xfId="0" applyNumberFormat="1" applyFont="1" applyFill="1" applyAlignment="1">
      <alignment horizontal="center"/>
    </xf>
    <xf numFmtId="4" fontId="27" fillId="0" borderId="0" xfId="0" applyNumberFormat="1" applyFont="1" applyAlignment="1">
      <alignment horizontal="center"/>
    </xf>
    <xf numFmtId="4" fontId="27" fillId="0" borderId="0" xfId="0" applyNumberFormat="1" applyFont="1" applyAlignment="1" applyProtection="1">
      <alignment horizontal="center"/>
      <protection/>
    </xf>
    <xf numFmtId="4" fontId="2" fillId="0" borderId="0" xfId="0" applyNumberFormat="1" applyFont="1" applyAlignment="1" applyProtection="1">
      <alignment horizontal="center"/>
      <protection/>
    </xf>
    <xf numFmtId="4" fontId="2" fillId="0" borderId="0" xfId="0" applyNumberFormat="1" applyFont="1" applyAlignment="1">
      <alignment horizontal="center"/>
    </xf>
    <xf numFmtId="4" fontId="8" fillId="33" borderId="16" xfId="0" applyNumberFormat="1" applyFont="1" applyFill="1" applyBorder="1" applyAlignment="1">
      <alignment horizontal="center"/>
    </xf>
    <xf numFmtId="4" fontId="8" fillId="33" borderId="0" xfId="0" applyNumberFormat="1" applyFont="1" applyFill="1" applyAlignment="1" applyProtection="1">
      <alignment/>
      <protection/>
    </xf>
    <xf numFmtId="4" fontId="27" fillId="0" borderId="14" xfId="0" applyNumberFormat="1" applyFont="1" applyBorder="1" applyAlignment="1">
      <alignment horizontal="center"/>
    </xf>
    <xf numFmtId="4" fontId="8" fillId="33" borderId="0" xfId="0" applyNumberFormat="1" applyFont="1" applyFill="1" applyAlignment="1" applyProtection="1">
      <alignment horizontal="center"/>
      <protection/>
    </xf>
    <xf numFmtId="4" fontId="7" fillId="33" borderId="14" xfId="47" applyNumberFormat="1" applyFont="1" applyFill="1" applyBorder="1" applyAlignment="1">
      <alignment horizontal="center"/>
    </xf>
    <xf numFmtId="4" fontId="7" fillId="33" borderId="14" xfId="0" applyNumberFormat="1" applyFont="1" applyFill="1" applyBorder="1" applyAlignment="1" applyProtection="1">
      <alignment horizontal="center"/>
      <protection/>
    </xf>
    <xf numFmtId="4" fontId="7" fillId="33" borderId="14" xfId="47" applyNumberFormat="1" applyFont="1" applyFill="1" applyBorder="1" applyAlignment="1" applyProtection="1">
      <alignment horizontal="center"/>
      <protection/>
    </xf>
    <xf numFmtId="4" fontId="56" fillId="33" borderId="14" xfId="0" applyNumberFormat="1" applyFont="1" applyFill="1" applyBorder="1" applyAlignment="1" applyProtection="1">
      <alignment horizontal="center"/>
      <protection/>
    </xf>
    <xf numFmtId="4" fontId="54" fillId="34" borderId="15" xfId="0" applyNumberFormat="1" applyFont="1" applyFill="1" applyBorder="1" applyAlignment="1" applyProtection="1">
      <alignment horizontal="center"/>
      <protection/>
    </xf>
    <xf numFmtId="4" fontId="8" fillId="33" borderId="0" xfId="47" applyNumberFormat="1" applyFont="1" applyFill="1" applyBorder="1" applyAlignment="1">
      <alignment horizontal="center"/>
    </xf>
    <xf numFmtId="4" fontId="6" fillId="33" borderId="0" xfId="0" applyNumberFormat="1" applyFont="1" applyFill="1" applyAlignment="1">
      <alignment horizontal="center"/>
    </xf>
    <xf numFmtId="4" fontId="7" fillId="33" borderId="14" xfId="0" applyNumberFormat="1" applyFont="1" applyFill="1" applyBorder="1" applyAlignment="1">
      <alignment horizontal="center"/>
    </xf>
    <xf numFmtId="4" fontId="7" fillId="33" borderId="13" xfId="0" applyNumberFormat="1" applyFont="1" applyFill="1" applyBorder="1" applyAlignment="1">
      <alignment horizontal="center"/>
    </xf>
    <xf numFmtId="4" fontId="7" fillId="33" borderId="0" xfId="47" applyNumberFormat="1" applyFont="1" applyFill="1" applyBorder="1" applyAlignment="1">
      <alignment horizontal="center"/>
    </xf>
    <xf numFmtId="4" fontId="56" fillId="33" borderId="16" xfId="0" applyNumberFormat="1" applyFont="1" applyFill="1" applyBorder="1" applyAlignment="1" applyProtection="1">
      <alignment horizontal="center"/>
      <protection/>
    </xf>
    <xf numFmtId="4" fontId="8" fillId="33" borderId="16" xfId="0" applyNumberFormat="1" applyFont="1" applyFill="1" applyBorder="1" applyAlignment="1" applyProtection="1">
      <alignment horizontal="center"/>
      <protection/>
    </xf>
    <xf numFmtId="4" fontId="27" fillId="33" borderId="0" xfId="0" applyNumberFormat="1" applyFont="1" applyFill="1" applyAlignment="1">
      <alignment/>
    </xf>
    <xf numFmtId="4" fontId="27" fillId="0" borderId="17" xfId="0" applyNumberFormat="1" applyFont="1" applyBorder="1" applyAlignment="1">
      <alignment/>
    </xf>
    <xf numFmtId="4" fontId="7" fillId="33" borderId="18" xfId="53" applyNumberFormat="1" applyFont="1" applyFill="1" applyBorder="1" applyAlignment="1">
      <alignment horizontal="center"/>
    </xf>
    <xf numFmtId="4" fontId="27" fillId="33" borderId="17" xfId="53" applyNumberFormat="1" applyFont="1" applyFill="1" applyBorder="1" applyAlignment="1">
      <alignment horizontal="center"/>
    </xf>
    <xf numFmtId="4" fontId="7" fillId="33" borderId="18" xfId="53" applyNumberFormat="1" applyFont="1" applyFill="1" applyBorder="1" applyAlignment="1" applyProtection="1">
      <alignment horizontal="center"/>
      <protection/>
    </xf>
    <xf numFmtId="4" fontId="27" fillId="33" borderId="13" xfId="53" applyNumberFormat="1" applyFont="1" applyFill="1" applyBorder="1" applyAlignment="1">
      <alignment horizontal="center"/>
    </xf>
    <xf numFmtId="4" fontId="56" fillId="33" borderId="18" xfId="53" applyNumberFormat="1" applyFont="1" applyFill="1" applyBorder="1" applyAlignment="1" applyProtection="1">
      <alignment horizontal="center"/>
      <protection/>
    </xf>
    <xf numFmtId="4" fontId="27" fillId="33" borderId="18" xfId="53" applyNumberFormat="1" applyFont="1" applyFill="1" applyBorder="1" applyAlignment="1">
      <alignment horizontal="center"/>
    </xf>
    <xf numFmtId="4" fontId="54" fillId="34" borderId="19" xfId="53" applyNumberFormat="1" applyFont="1" applyFill="1" applyBorder="1" applyAlignment="1" applyProtection="1">
      <alignment horizontal="center"/>
      <protection/>
    </xf>
    <xf numFmtId="4" fontId="58" fillId="33" borderId="0" xfId="47" applyNumberFormat="1" applyFont="1" applyFill="1" applyBorder="1" applyAlignment="1">
      <alignment/>
    </xf>
    <xf numFmtId="4" fontId="8" fillId="33" borderId="14" xfId="0" applyNumberFormat="1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left" vertical="top"/>
      <protection/>
    </xf>
    <xf numFmtId="4" fontId="8" fillId="33" borderId="21" xfId="0" applyNumberFormat="1" applyFont="1" applyFill="1" applyBorder="1" applyAlignment="1" applyProtection="1">
      <alignment horizontal="center" vertical="top"/>
      <protection/>
    </xf>
    <xf numFmtId="4" fontId="7" fillId="33" borderId="21" xfId="0" applyNumberFormat="1" applyFont="1" applyFill="1" applyBorder="1" applyAlignment="1">
      <alignment horizontal="center" vertical="top"/>
    </xf>
    <xf numFmtId="4" fontId="27" fillId="33" borderId="22" xfId="53" applyNumberFormat="1" applyFont="1" applyFill="1" applyBorder="1" applyAlignment="1">
      <alignment horizontal="center" vertical="top"/>
    </xf>
    <xf numFmtId="0" fontId="8" fillId="33" borderId="0" xfId="0" applyFont="1" applyFill="1" applyAlignment="1" applyProtection="1">
      <alignment horizontal="left" wrapText="1"/>
      <protection/>
    </xf>
    <xf numFmtId="0" fontId="8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/>
    </xf>
    <xf numFmtId="0" fontId="29" fillId="33" borderId="0" xfId="0" applyFont="1" applyFill="1" applyAlignment="1">
      <alignment horizontal="center" vertical="center"/>
    </xf>
    <xf numFmtId="0" fontId="27" fillId="0" borderId="0" xfId="0" applyFont="1" applyAlignment="1">
      <alignment horizontal="center"/>
    </xf>
    <xf numFmtId="0" fontId="29" fillId="33" borderId="0" xfId="0" applyFont="1" applyFill="1" applyBorder="1" applyAlignment="1" applyProtection="1">
      <alignment horizontal="center" vertical="center"/>
      <protection/>
    </xf>
    <xf numFmtId="0" fontId="35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left"/>
      <protection/>
    </xf>
    <xf numFmtId="0" fontId="29" fillId="35" borderId="0" xfId="0" applyFont="1" applyFill="1" applyBorder="1" applyAlignment="1" applyProtection="1">
      <alignment horizontal="center" vertical="center"/>
      <protection/>
    </xf>
    <xf numFmtId="4" fontId="29" fillId="35" borderId="0" xfId="0" applyNumberFormat="1" applyFont="1" applyFill="1" applyBorder="1" applyAlignment="1" applyProtection="1">
      <alignment horizontal="center" vertical="center"/>
      <protection/>
    </xf>
    <xf numFmtId="0" fontId="55" fillId="35" borderId="23" xfId="0" applyFont="1" applyFill="1" applyBorder="1" applyAlignment="1">
      <alignment/>
    </xf>
    <xf numFmtId="4" fontId="55" fillId="35" borderId="24" xfId="0" applyNumberFormat="1" applyFont="1" applyFill="1" applyBorder="1" applyAlignment="1">
      <alignment horizontal="center"/>
    </xf>
    <xf numFmtId="4" fontId="55" fillId="35" borderId="25" xfId="0" applyNumberFormat="1" applyFont="1" applyFill="1" applyBorder="1" applyAlignment="1">
      <alignment horizontal="center"/>
    </xf>
    <xf numFmtId="4" fontId="59" fillId="35" borderId="24" xfId="0" applyNumberFormat="1" applyFont="1" applyFill="1" applyBorder="1" applyAlignment="1" applyProtection="1">
      <alignment horizontal="center" vertical="justify"/>
      <protection/>
    </xf>
    <xf numFmtId="4" fontId="55" fillId="35" borderId="26" xfId="0" applyNumberFormat="1" applyFont="1" applyFill="1" applyBorder="1" applyAlignment="1">
      <alignment horizontal="center" vertical="justify"/>
    </xf>
    <xf numFmtId="0" fontId="55" fillId="35" borderId="10" xfId="0" applyFont="1" applyFill="1" applyBorder="1" applyAlignment="1" applyProtection="1">
      <alignment horizontal="left"/>
      <protection/>
    </xf>
    <xf numFmtId="4" fontId="55" fillId="35" borderId="14" xfId="0" applyNumberFormat="1" applyFont="1" applyFill="1" applyBorder="1" applyAlignment="1" applyProtection="1">
      <alignment horizontal="center"/>
      <protection/>
    </xf>
    <xf numFmtId="4" fontId="59" fillId="35" borderId="14" xfId="0" applyNumberFormat="1" applyFont="1" applyFill="1" applyBorder="1" applyAlignment="1" applyProtection="1">
      <alignment horizontal="center" vertical="justify"/>
      <protection/>
    </xf>
    <xf numFmtId="4" fontId="55" fillId="35" borderId="18" xfId="0" applyNumberFormat="1" applyFont="1" applyFill="1" applyBorder="1" applyAlignment="1">
      <alignment horizontal="center" vertical="justify"/>
    </xf>
    <xf numFmtId="0" fontId="55" fillId="35" borderId="20" xfId="0" applyFont="1" applyFill="1" applyBorder="1" applyAlignment="1" applyProtection="1">
      <alignment horizontal="fill"/>
      <protection/>
    </xf>
    <xf numFmtId="4" fontId="55" fillId="35" borderId="21" xfId="0" applyNumberFormat="1" applyFont="1" applyFill="1" applyBorder="1" applyAlignment="1" applyProtection="1">
      <alignment horizontal="center"/>
      <protection/>
    </xf>
    <xf numFmtId="4" fontId="55" fillId="35" borderId="21" xfId="0" applyNumberFormat="1" applyFont="1" applyFill="1" applyBorder="1" applyAlignment="1">
      <alignment horizontal="center"/>
    </xf>
    <xf numFmtId="4" fontId="59" fillId="35" borderId="21" xfId="0" applyNumberFormat="1" applyFont="1" applyFill="1" applyBorder="1" applyAlignment="1" applyProtection="1">
      <alignment horizontal="center" vertical="justify"/>
      <protection/>
    </xf>
    <xf numFmtId="4" fontId="55" fillId="35" borderId="27" xfId="0" applyNumberFormat="1" applyFont="1" applyFill="1" applyBorder="1" applyAlignment="1">
      <alignment horizontal="center" vertical="justify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0</xdr:row>
      <xdr:rowOff>38100</xdr:rowOff>
    </xdr:from>
    <xdr:to>
      <xdr:col>5</xdr:col>
      <xdr:colOff>581025</xdr:colOff>
      <xdr:row>3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38100"/>
          <a:ext cx="1466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PageLayoutView="0" workbookViewId="0" topLeftCell="A26">
      <selection activeCell="C47" sqref="C47"/>
    </sheetView>
  </sheetViews>
  <sheetFormatPr defaultColWidth="11.00390625" defaultRowHeight="12.75"/>
  <cols>
    <col min="1" max="1" width="30.7109375" style="3" customWidth="1"/>
    <col min="2" max="2" width="10.140625" style="54" customWidth="1"/>
    <col min="3" max="3" width="10.00390625" style="54" customWidth="1"/>
    <col min="4" max="4" width="10.8515625" style="54" customWidth="1"/>
    <col min="5" max="5" width="11.140625" style="54" customWidth="1"/>
    <col min="6" max="6" width="11.57421875" style="54" customWidth="1"/>
    <col min="7" max="7" width="10.8515625" style="54" customWidth="1"/>
    <col min="8" max="8" width="12.00390625" style="54" customWidth="1"/>
    <col min="9" max="9" width="11.140625" style="54" customWidth="1"/>
    <col min="10" max="10" width="11.8515625" style="54" customWidth="1"/>
    <col min="11" max="11" width="13.28125" style="37" customWidth="1"/>
    <col min="12" max="12" width="11.140625" style="5" customWidth="1"/>
    <col min="13" max="14" width="11.00390625" style="5" customWidth="1"/>
    <col min="15" max="16384" width="11.00390625" style="3" customWidth="1"/>
  </cols>
  <sheetData>
    <row r="1" spans="1:20" ht="13.5">
      <c r="A1" s="20"/>
      <c r="B1" s="38"/>
      <c r="C1" s="31"/>
      <c r="D1" s="38"/>
      <c r="E1" s="38"/>
      <c r="F1" s="38"/>
      <c r="G1" s="38"/>
      <c r="H1" s="65"/>
      <c r="I1" s="38"/>
      <c r="J1" s="38"/>
      <c r="K1" s="31"/>
      <c r="O1" s="5"/>
      <c r="P1" s="5"/>
      <c r="Q1" s="5"/>
      <c r="R1" s="5"/>
      <c r="S1" s="5"/>
      <c r="T1" s="5"/>
    </row>
    <row r="2" spans="1:20" ht="13.5">
      <c r="A2" s="18"/>
      <c r="B2" s="39"/>
      <c r="C2" s="32"/>
      <c r="D2" s="39"/>
      <c r="E2" s="39"/>
      <c r="F2" s="39"/>
      <c r="G2" s="39"/>
      <c r="H2" s="39"/>
      <c r="I2" s="65"/>
      <c r="J2" s="38"/>
      <c r="K2" s="31"/>
      <c r="L2" s="20"/>
      <c r="O2" s="5"/>
      <c r="P2" s="5"/>
      <c r="Q2" s="5"/>
      <c r="R2" s="5"/>
      <c r="S2" s="5"/>
      <c r="T2" s="5"/>
    </row>
    <row r="3" spans="1:20" ht="13.5">
      <c r="A3" s="18"/>
      <c r="B3" s="39"/>
      <c r="C3" s="32"/>
      <c r="D3" s="39"/>
      <c r="E3" s="39"/>
      <c r="F3" s="39"/>
      <c r="G3" s="39"/>
      <c r="H3" s="39"/>
      <c r="I3" s="65"/>
      <c r="J3" s="38"/>
      <c r="K3" s="31"/>
      <c r="L3" s="20"/>
      <c r="O3" s="5"/>
      <c r="P3" s="5"/>
      <c r="Q3" s="5"/>
      <c r="R3" s="5"/>
      <c r="S3" s="5"/>
      <c r="T3" s="5"/>
    </row>
    <row r="4" spans="1:20" ht="18" customHeight="1">
      <c r="A4" s="89" t="s">
        <v>43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19"/>
      <c r="O4" s="5"/>
      <c r="P4" s="5"/>
      <c r="Q4" s="5"/>
      <c r="R4" s="5"/>
      <c r="S4" s="5"/>
      <c r="T4" s="5"/>
    </row>
    <row r="5" spans="1:20" ht="11.25" customHeight="1">
      <c r="A5" s="89" t="s">
        <v>44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19"/>
      <c r="O5" s="5"/>
      <c r="P5" s="5"/>
      <c r="Q5" s="5"/>
      <c r="R5" s="5"/>
      <c r="S5" s="5"/>
      <c r="T5" s="5"/>
    </row>
    <row r="6" spans="1:11" ht="7.5" customHeight="1">
      <c r="A6" s="6"/>
      <c r="B6" s="40"/>
      <c r="C6" s="40"/>
      <c r="D6" s="40"/>
      <c r="E6" s="40"/>
      <c r="F6" s="40"/>
      <c r="G6" s="40"/>
      <c r="H6" s="40"/>
      <c r="I6" s="40"/>
      <c r="J6" s="40"/>
      <c r="K6" s="33"/>
    </row>
    <row r="7" spans="1:14" s="1" customFormat="1" ht="15" customHeight="1">
      <c r="A7" s="91" t="s">
        <v>50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21"/>
      <c r="M7" s="22"/>
      <c r="N7" s="22"/>
    </row>
    <row r="8" spans="1:14" s="1" customFormat="1" ht="4.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21"/>
      <c r="M8" s="22"/>
      <c r="N8" s="22"/>
    </row>
    <row r="9" spans="1:14" s="1" customFormat="1" ht="3.75" customHeight="1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21"/>
      <c r="M9" s="22"/>
      <c r="N9" s="22"/>
    </row>
    <row r="10" spans="1:14" s="2" customFormat="1" ht="10.5" customHeight="1" thickBot="1">
      <c r="A10" s="7"/>
      <c r="B10" s="41"/>
      <c r="C10" s="41"/>
      <c r="D10" s="41"/>
      <c r="E10" s="41"/>
      <c r="F10" s="41"/>
      <c r="G10" s="41"/>
      <c r="H10" s="41"/>
      <c r="I10" s="41"/>
      <c r="J10" s="41"/>
      <c r="K10" s="71"/>
      <c r="L10" s="8"/>
      <c r="M10" s="5"/>
      <c r="N10" s="5"/>
    </row>
    <row r="11" spans="1:12" ht="8.25" customHeight="1">
      <c r="A11" s="96"/>
      <c r="B11" s="97"/>
      <c r="C11" s="97"/>
      <c r="D11" s="98"/>
      <c r="E11" s="98"/>
      <c r="F11" s="98"/>
      <c r="G11" s="98"/>
      <c r="H11" s="99" t="s">
        <v>24</v>
      </c>
      <c r="I11" s="98"/>
      <c r="J11" s="97"/>
      <c r="K11" s="100" t="s">
        <v>23</v>
      </c>
      <c r="L11" s="8"/>
    </row>
    <row r="12" spans="1:12" ht="15" customHeight="1">
      <c r="A12" s="101" t="s">
        <v>0</v>
      </c>
      <c r="B12" s="102" t="s">
        <v>42</v>
      </c>
      <c r="C12" s="102" t="s">
        <v>1</v>
      </c>
      <c r="D12" s="102" t="s">
        <v>2</v>
      </c>
      <c r="E12" s="102" t="s">
        <v>3</v>
      </c>
      <c r="F12" s="102" t="s">
        <v>4</v>
      </c>
      <c r="G12" s="102" t="s">
        <v>5</v>
      </c>
      <c r="H12" s="103"/>
      <c r="I12" s="102" t="s">
        <v>6</v>
      </c>
      <c r="J12" s="102" t="s">
        <v>7</v>
      </c>
      <c r="K12" s="104"/>
      <c r="L12" s="8"/>
    </row>
    <row r="13" spans="1:12" ht="16.5" customHeight="1" thickBot="1">
      <c r="A13" s="105"/>
      <c r="B13" s="106"/>
      <c r="C13" s="106"/>
      <c r="D13" s="107" t="s">
        <v>22</v>
      </c>
      <c r="E13" s="106" t="s">
        <v>7</v>
      </c>
      <c r="F13" s="106" t="s">
        <v>7</v>
      </c>
      <c r="G13" s="106" t="s">
        <v>7</v>
      </c>
      <c r="H13" s="108"/>
      <c r="I13" s="106" t="s">
        <v>7</v>
      </c>
      <c r="J13" s="106" t="s">
        <v>8</v>
      </c>
      <c r="K13" s="109"/>
      <c r="L13" s="8"/>
    </row>
    <row r="14" spans="1:12" ht="7.5" customHeight="1">
      <c r="A14" s="10"/>
      <c r="B14" s="42"/>
      <c r="C14" s="42"/>
      <c r="D14" s="57"/>
      <c r="E14" s="42"/>
      <c r="F14" s="42"/>
      <c r="G14" s="42"/>
      <c r="H14" s="42"/>
      <c r="I14" s="42"/>
      <c r="J14" s="42"/>
      <c r="K14" s="72"/>
      <c r="L14" s="8"/>
    </row>
    <row r="15" spans="1:12" ht="12.75">
      <c r="A15" s="11" t="s">
        <v>9</v>
      </c>
      <c r="B15" s="43"/>
      <c r="C15" s="43"/>
      <c r="D15" s="43"/>
      <c r="E15" s="59">
        <f aca="true" t="shared" si="0" ref="E15:K15">SUM(E16:E20)</f>
        <v>540.750571123115</v>
      </c>
      <c r="F15" s="59">
        <f t="shared" si="0"/>
        <v>126.86984224623004</v>
      </c>
      <c r="G15" s="59">
        <f t="shared" si="0"/>
        <v>203.80398449246005</v>
      </c>
      <c r="H15" s="59">
        <f t="shared" si="0"/>
        <v>871.4243978618051</v>
      </c>
      <c r="I15" s="59">
        <f t="shared" si="0"/>
        <v>1655.2091582939454</v>
      </c>
      <c r="J15" s="59">
        <f t="shared" si="0"/>
        <v>2526.6335561557503</v>
      </c>
      <c r="K15" s="73">
        <f t="shared" si="0"/>
        <v>0.2827461008482731</v>
      </c>
      <c r="L15" s="8"/>
    </row>
    <row r="16" spans="1:12" ht="12.75">
      <c r="A16" s="12" t="s">
        <v>26</v>
      </c>
      <c r="B16" s="44">
        <v>15</v>
      </c>
      <c r="C16" s="45" t="s">
        <v>10</v>
      </c>
      <c r="D16" s="45">
        <v>25</v>
      </c>
      <c r="E16" s="45">
        <f>(D16*B16)</f>
        <v>375</v>
      </c>
      <c r="F16" s="43"/>
      <c r="G16" s="43"/>
      <c r="H16" s="66">
        <f>SUM(E16:G16)</f>
        <v>375</v>
      </c>
      <c r="I16" s="43"/>
      <c r="J16" s="45">
        <f>(D16*B16)</f>
        <v>375</v>
      </c>
      <c r="K16" s="74">
        <f>J16/J$42</f>
        <v>0.04196484589535246</v>
      </c>
      <c r="L16" s="8"/>
    </row>
    <row r="17" spans="1:12" ht="12.75">
      <c r="A17" s="12" t="s">
        <v>27</v>
      </c>
      <c r="B17" s="44">
        <v>2</v>
      </c>
      <c r="C17" s="45" t="s">
        <v>10</v>
      </c>
      <c r="D17" s="45">
        <v>25</v>
      </c>
      <c r="E17" s="45">
        <f>(D17*B17)</f>
        <v>50</v>
      </c>
      <c r="F17" s="43"/>
      <c r="G17" s="43"/>
      <c r="H17" s="66">
        <f>SUM(E17:G17)</f>
        <v>50</v>
      </c>
      <c r="I17" s="43"/>
      <c r="J17" s="45">
        <f>(D17*B17)</f>
        <v>50</v>
      </c>
      <c r="K17" s="74">
        <f>J17/J$42</f>
        <v>0.005595312786046994</v>
      </c>
      <c r="L17" s="8"/>
    </row>
    <row r="18" spans="1:12" ht="12.75">
      <c r="A18" s="12" t="s">
        <v>47</v>
      </c>
      <c r="B18" s="43">
        <f>3.77/44.43</f>
        <v>0.08485257708755345</v>
      </c>
      <c r="C18" s="43" t="s">
        <v>11</v>
      </c>
      <c r="D18" s="43">
        <v>2350</v>
      </c>
      <c r="E18" s="43">
        <v>3.988071123115012</v>
      </c>
      <c r="F18" s="43">
        <v>7.976142246230024</v>
      </c>
      <c r="G18" s="43">
        <v>15.952284492460048</v>
      </c>
      <c r="H18" s="66">
        <f>SUM(E18:G18)</f>
        <v>27.916497861805084</v>
      </c>
      <c r="I18" s="43">
        <f>(J18*0.86)</f>
        <v>171.48705829394552</v>
      </c>
      <c r="J18" s="43">
        <f>(D18*B18)</f>
        <v>199.4035561557506</v>
      </c>
      <c r="K18" s="74">
        <f>J18/J$42</f>
        <v>0.022314505346830223</v>
      </c>
      <c r="L18" s="8"/>
    </row>
    <row r="19" spans="1:12" ht="12.75">
      <c r="A19" s="12" t="s">
        <v>48</v>
      </c>
      <c r="B19" s="43">
        <v>0.9147</v>
      </c>
      <c r="C19" s="43" t="s">
        <v>12</v>
      </c>
      <c r="D19" s="43">
        <v>1300</v>
      </c>
      <c r="E19" s="45">
        <f>(J19*0.07)</f>
        <v>83.2377</v>
      </c>
      <c r="F19" s="45">
        <f>(J19*0.07)</f>
        <v>83.2377</v>
      </c>
      <c r="G19" s="45">
        <f>(J19*0.11)</f>
        <v>130.8021</v>
      </c>
      <c r="H19" s="66">
        <f>SUM(E19:G19)</f>
        <v>297.27750000000003</v>
      </c>
      <c r="I19" s="45">
        <f>(J19*0.75)</f>
        <v>891.8325</v>
      </c>
      <c r="J19" s="45">
        <f>(D19*B19)</f>
        <v>1189.11</v>
      </c>
      <c r="K19" s="74">
        <f>J19/J$42</f>
        <v>0.13306884774032682</v>
      </c>
      <c r="L19" s="8"/>
    </row>
    <row r="20" spans="1:12" ht="12.75">
      <c r="A20" s="12" t="s">
        <v>49</v>
      </c>
      <c r="B20" s="43">
        <v>0.8914</v>
      </c>
      <c r="C20" s="43" t="s">
        <v>13</v>
      </c>
      <c r="D20" s="43">
        <v>800</v>
      </c>
      <c r="E20" s="45">
        <f>(J20*0.04)</f>
        <v>28.5248</v>
      </c>
      <c r="F20" s="45">
        <f>(J20*0.05)</f>
        <v>35.656</v>
      </c>
      <c r="G20" s="45">
        <f>(J20*0.08)</f>
        <v>57.0496</v>
      </c>
      <c r="H20" s="66">
        <f>SUM(E20:G20)</f>
        <v>121.2304</v>
      </c>
      <c r="I20" s="45">
        <f>(J20*0.83)</f>
        <v>591.8896</v>
      </c>
      <c r="J20" s="45">
        <f>(D20*B20)</f>
        <v>713.12</v>
      </c>
      <c r="K20" s="74">
        <f>J20/J$42</f>
        <v>0.07980258907971666</v>
      </c>
      <c r="L20" s="8"/>
    </row>
    <row r="21" spans="1:12" ht="7.5" customHeight="1">
      <c r="A21" s="13"/>
      <c r="B21" s="43"/>
      <c r="C21" s="43"/>
      <c r="D21" s="43"/>
      <c r="E21" s="45"/>
      <c r="F21" s="45"/>
      <c r="G21" s="45"/>
      <c r="H21" s="66"/>
      <c r="I21" s="45"/>
      <c r="J21" s="45"/>
      <c r="K21" s="74"/>
      <c r="L21" s="8"/>
    </row>
    <row r="22" spans="1:12" ht="12.75">
      <c r="A22" s="11" t="s">
        <v>14</v>
      </c>
      <c r="B22" s="43"/>
      <c r="C22" s="43"/>
      <c r="D22" s="43"/>
      <c r="E22" s="60">
        <f>SUM(E23:E25)</f>
        <v>0</v>
      </c>
      <c r="F22" s="60">
        <f aca="true" t="shared" si="1" ref="F22:K22">SUM(F23:F25)</f>
        <v>0</v>
      </c>
      <c r="G22" s="60">
        <f t="shared" si="1"/>
        <v>0</v>
      </c>
      <c r="H22" s="60">
        <f t="shared" si="1"/>
        <v>0</v>
      </c>
      <c r="I22" s="60">
        <f t="shared" si="1"/>
        <v>0</v>
      </c>
      <c r="J22" s="60">
        <f>SUM(J23:J25)</f>
        <v>0</v>
      </c>
      <c r="K22" s="75">
        <f t="shared" si="1"/>
        <v>0</v>
      </c>
      <c r="L22" s="8"/>
    </row>
    <row r="23" spans="1:12" ht="12.75">
      <c r="A23" s="12" t="s">
        <v>28</v>
      </c>
      <c r="B23" s="45">
        <v>1</v>
      </c>
      <c r="C23" s="45" t="s">
        <v>15</v>
      </c>
      <c r="D23" s="45"/>
      <c r="E23" s="45">
        <f>D23*B23</f>
        <v>0</v>
      </c>
      <c r="F23" s="45" t="s">
        <v>16</v>
      </c>
      <c r="G23" s="45" t="s">
        <v>16</v>
      </c>
      <c r="H23" s="66">
        <f>SUM(E23:G23)</f>
        <v>0</v>
      </c>
      <c r="I23" s="45" t="s">
        <v>16</v>
      </c>
      <c r="J23" s="45">
        <f>(D23*B23)</f>
        <v>0</v>
      </c>
      <c r="K23" s="74">
        <f>J23/J$42</f>
        <v>0</v>
      </c>
      <c r="L23" s="8"/>
    </row>
    <row r="24" spans="1:12" ht="12.75">
      <c r="A24" s="12" t="s">
        <v>29</v>
      </c>
      <c r="B24" s="45">
        <v>1</v>
      </c>
      <c r="C24" s="45" t="s">
        <v>15</v>
      </c>
      <c r="D24" s="45"/>
      <c r="E24" s="45">
        <f>D24*B24</f>
        <v>0</v>
      </c>
      <c r="F24" s="45" t="s">
        <v>16</v>
      </c>
      <c r="G24" s="45" t="s">
        <v>16</v>
      </c>
      <c r="H24" s="66">
        <f aca="true" t="shared" si="2" ref="H24:H37">SUM(E24:G24)</f>
        <v>0</v>
      </c>
      <c r="I24" s="45" t="s">
        <v>16</v>
      </c>
      <c r="J24" s="45">
        <f>(D24*B24)</f>
        <v>0</v>
      </c>
      <c r="K24" s="74">
        <f>J24/J$42</f>
        <v>0</v>
      </c>
      <c r="L24" s="8"/>
    </row>
    <row r="25" spans="1:12" ht="12.75">
      <c r="A25" s="12" t="s">
        <v>30</v>
      </c>
      <c r="B25" s="45">
        <v>1</v>
      </c>
      <c r="C25" s="45" t="s">
        <v>15</v>
      </c>
      <c r="D25" s="45"/>
      <c r="E25" s="45">
        <f>D25*B25</f>
        <v>0</v>
      </c>
      <c r="F25" s="45" t="s">
        <v>16</v>
      </c>
      <c r="G25" s="45" t="s">
        <v>16</v>
      </c>
      <c r="H25" s="66">
        <f t="shared" si="2"/>
        <v>0</v>
      </c>
      <c r="I25" s="45" t="s">
        <v>16</v>
      </c>
      <c r="J25" s="45">
        <f>(D25*B25)</f>
        <v>0</v>
      </c>
      <c r="K25" s="74">
        <f>J25/J$42</f>
        <v>0</v>
      </c>
      <c r="L25" s="8"/>
    </row>
    <row r="26" spans="1:12" ht="8.25" customHeight="1">
      <c r="A26" s="13"/>
      <c r="B26" s="43"/>
      <c r="C26" s="43"/>
      <c r="D26" s="45"/>
      <c r="E26" s="45"/>
      <c r="F26" s="45"/>
      <c r="G26" s="45"/>
      <c r="H26" s="66">
        <f t="shared" si="2"/>
        <v>0</v>
      </c>
      <c r="I26" s="45"/>
      <c r="J26" s="45"/>
      <c r="K26" s="74"/>
      <c r="L26" s="8"/>
    </row>
    <row r="27" spans="1:12" ht="12.75">
      <c r="A27" s="11" t="s">
        <v>17</v>
      </c>
      <c r="B27" s="43"/>
      <c r="C27" s="55"/>
      <c r="D27" s="55"/>
      <c r="E27" s="61">
        <f>SUM(E28:E37)</f>
        <v>539.092995</v>
      </c>
      <c r="F27" s="61">
        <f aca="true" t="shared" si="3" ref="F27:K27">SUM(F28:F37)</f>
        <v>269.16351000000003</v>
      </c>
      <c r="G27" s="61">
        <f t="shared" si="3"/>
        <v>492.899759</v>
      </c>
      <c r="H27" s="61">
        <f t="shared" si="3"/>
        <v>1301.1562640000002</v>
      </c>
      <c r="I27" s="61">
        <f t="shared" si="3"/>
        <v>4283.431780000001</v>
      </c>
      <c r="J27" s="61">
        <f>SUM(J28:J37)</f>
        <v>5585.250000000001</v>
      </c>
      <c r="K27" s="75">
        <f t="shared" si="3"/>
        <v>0.6250244147653795</v>
      </c>
      <c r="L27" s="8"/>
    </row>
    <row r="28" spans="1:12" ht="12.75">
      <c r="A28" s="12" t="s">
        <v>31</v>
      </c>
      <c r="B28" s="45">
        <v>0.126</v>
      </c>
      <c r="C28" s="45" t="s">
        <v>18</v>
      </c>
      <c r="D28" s="45">
        <v>550</v>
      </c>
      <c r="E28" s="45">
        <f>(D28*B28)</f>
        <v>69.3</v>
      </c>
      <c r="F28" s="45" t="s">
        <v>16</v>
      </c>
      <c r="G28" s="45" t="s">
        <v>16</v>
      </c>
      <c r="H28" s="66">
        <f t="shared" si="2"/>
        <v>69.3</v>
      </c>
      <c r="I28" s="45" t="s">
        <v>16</v>
      </c>
      <c r="J28" s="45">
        <f aca="true" t="shared" si="4" ref="J28:J37">(D28*B28)</f>
        <v>69.3</v>
      </c>
      <c r="K28" s="74">
        <f aca="true" t="shared" si="5" ref="K28:K37">J28/J$42</f>
        <v>0.007755103521461134</v>
      </c>
      <c r="L28" s="8"/>
    </row>
    <row r="29" spans="1:12" ht="12.75">
      <c r="A29" s="12" t="s">
        <v>32</v>
      </c>
      <c r="B29" s="45">
        <v>0.376</v>
      </c>
      <c r="C29" s="45" t="s">
        <v>18</v>
      </c>
      <c r="D29" s="45">
        <v>550</v>
      </c>
      <c r="E29" s="45">
        <v>3.4</v>
      </c>
      <c r="F29" s="45" t="s">
        <v>16</v>
      </c>
      <c r="G29" s="45">
        <f>(J29*0.85)</f>
        <v>175.78</v>
      </c>
      <c r="H29" s="66">
        <f>SUM(E29:G29)</f>
        <v>179.18</v>
      </c>
      <c r="I29" s="45">
        <f>J29-H29</f>
        <v>27.620000000000005</v>
      </c>
      <c r="J29" s="45">
        <f t="shared" si="4"/>
        <v>206.8</v>
      </c>
      <c r="K29" s="74">
        <f t="shared" si="5"/>
        <v>0.02314221368309037</v>
      </c>
      <c r="L29" s="8"/>
    </row>
    <row r="30" spans="1:12" ht="12.75">
      <c r="A30" s="12" t="s">
        <v>33</v>
      </c>
      <c r="B30" s="45">
        <v>0.626</v>
      </c>
      <c r="C30" s="45" t="s">
        <v>18</v>
      </c>
      <c r="D30" s="45">
        <v>550</v>
      </c>
      <c r="E30" s="45">
        <f>(D30*B30)</f>
        <v>344.3</v>
      </c>
      <c r="F30" s="45" t="s">
        <v>16</v>
      </c>
      <c r="G30" s="45" t="s">
        <v>16</v>
      </c>
      <c r="H30" s="66">
        <f t="shared" si="2"/>
        <v>344.3</v>
      </c>
      <c r="I30" s="45" t="s">
        <v>16</v>
      </c>
      <c r="J30" s="45">
        <f t="shared" si="4"/>
        <v>344.3</v>
      </c>
      <c r="K30" s="74">
        <f t="shared" si="5"/>
        <v>0.038529323844719604</v>
      </c>
      <c r="L30" s="8"/>
    </row>
    <row r="31" spans="1:12" ht="12.75">
      <c r="A31" s="12" t="s">
        <v>34</v>
      </c>
      <c r="B31" s="45">
        <v>0.094</v>
      </c>
      <c r="C31" s="45" t="s">
        <v>18</v>
      </c>
      <c r="D31" s="45">
        <v>550</v>
      </c>
      <c r="E31" s="45" t="s">
        <v>16</v>
      </c>
      <c r="F31" s="45">
        <f>(D31*B31)</f>
        <v>51.7</v>
      </c>
      <c r="G31" s="45" t="s">
        <v>16</v>
      </c>
      <c r="H31" s="66">
        <f t="shared" si="2"/>
        <v>51.7</v>
      </c>
      <c r="I31" s="45"/>
      <c r="J31" s="45">
        <f t="shared" si="4"/>
        <v>51.7</v>
      </c>
      <c r="K31" s="74">
        <f t="shared" si="5"/>
        <v>0.005785553420772593</v>
      </c>
      <c r="L31" s="23"/>
    </row>
    <row r="32" spans="1:12" ht="12.75">
      <c r="A32" s="12" t="s">
        <v>35</v>
      </c>
      <c r="B32" s="45">
        <v>1.988</v>
      </c>
      <c r="C32" s="45" t="s">
        <v>18</v>
      </c>
      <c r="D32" s="45">
        <v>550</v>
      </c>
      <c r="E32" s="45">
        <v>2.99</v>
      </c>
      <c r="F32" s="45">
        <f>(J32*0.062)</f>
        <v>67.7908</v>
      </c>
      <c r="G32" s="45">
        <f>(J32*0.07466)</f>
        <v>81.633244</v>
      </c>
      <c r="H32" s="66">
        <f t="shared" si="2"/>
        <v>152.414044</v>
      </c>
      <c r="I32" s="45">
        <f>(J32*0.86)</f>
        <v>940.3240000000001</v>
      </c>
      <c r="J32" s="45">
        <f t="shared" si="4"/>
        <v>1093.4</v>
      </c>
      <c r="K32" s="74">
        <f t="shared" si="5"/>
        <v>0.12235830000527569</v>
      </c>
      <c r="L32" s="8"/>
    </row>
    <row r="33" spans="1:12" ht="12.75">
      <c r="A33" s="12" t="s">
        <v>36</v>
      </c>
      <c r="B33" s="45">
        <v>0.3366</v>
      </c>
      <c r="C33" s="45" t="s">
        <v>18</v>
      </c>
      <c r="D33" s="45">
        <v>550</v>
      </c>
      <c r="E33" s="45">
        <f>(J33*0.047)</f>
        <v>8.70111</v>
      </c>
      <c r="F33" s="45">
        <f>(J33*0.05)</f>
        <v>9.2565</v>
      </c>
      <c r="G33" s="45">
        <f>(J33*0.094)</f>
        <v>17.40222</v>
      </c>
      <c r="H33" s="66">
        <f t="shared" si="2"/>
        <v>35.35983</v>
      </c>
      <c r="I33" s="45">
        <f>(J33*0.809)</f>
        <v>149.77017</v>
      </c>
      <c r="J33" s="45">
        <f t="shared" si="4"/>
        <v>185.13</v>
      </c>
      <c r="K33" s="74">
        <f t="shared" si="5"/>
        <v>0.0207172051216176</v>
      </c>
      <c r="L33" s="8"/>
    </row>
    <row r="34" spans="1:12" ht="12.75">
      <c r="A34" s="12" t="s">
        <v>37</v>
      </c>
      <c r="B34" s="45">
        <f>0.1739+0.1768</f>
        <v>0.3507</v>
      </c>
      <c r="C34" s="45" t="s">
        <v>18</v>
      </c>
      <c r="D34" s="45">
        <v>550</v>
      </c>
      <c r="E34" s="81">
        <f>(J34*0.046)</f>
        <v>8.872710000000001</v>
      </c>
      <c r="F34" s="45">
        <f>(J34*0.046)</f>
        <v>8.872710000000001</v>
      </c>
      <c r="G34" s="45">
        <f>(J34*0.047)</f>
        <v>9.065595</v>
      </c>
      <c r="H34" s="66">
        <f t="shared" si="2"/>
        <v>26.811015000000005</v>
      </c>
      <c r="I34" s="45">
        <f>(J34*0.861)</f>
        <v>166.07398500000002</v>
      </c>
      <c r="J34" s="45">
        <f t="shared" si="4"/>
        <v>192.88500000000002</v>
      </c>
      <c r="K34" s="74">
        <f t="shared" si="5"/>
        <v>0.021585038134733493</v>
      </c>
      <c r="L34" s="8"/>
    </row>
    <row r="35" spans="1:12" ht="12.75">
      <c r="A35" s="12" t="s">
        <v>38</v>
      </c>
      <c r="B35" s="45">
        <v>1.4077</v>
      </c>
      <c r="C35" s="45" t="s">
        <v>18</v>
      </c>
      <c r="D35" s="45">
        <v>550</v>
      </c>
      <c r="E35" s="45">
        <f>(J35*0.085)</f>
        <v>65.80997500000001</v>
      </c>
      <c r="F35" s="45">
        <f>(J35*0.1)</f>
        <v>77.4235</v>
      </c>
      <c r="G35" s="45">
        <f>(J35*0.1)</f>
        <v>77.4235</v>
      </c>
      <c r="H35" s="66">
        <f t="shared" si="2"/>
        <v>220.656975</v>
      </c>
      <c r="I35" s="45">
        <f>(J35*0.715)</f>
        <v>553.578025</v>
      </c>
      <c r="J35" s="45">
        <f t="shared" si="4"/>
        <v>774.235</v>
      </c>
      <c r="K35" s="74">
        <f t="shared" si="5"/>
        <v>0.0866417398981019</v>
      </c>
      <c r="L35" s="8"/>
    </row>
    <row r="36" spans="1:12" ht="12.75">
      <c r="A36" s="12" t="s">
        <v>39</v>
      </c>
      <c r="B36" s="45">
        <v>1.968</v>
      </c>
      <c r="C36" s="45" t="s">
        <v>18</v>
      </c>
      <c r="D36" s="45">
        <v>550</v>
      </c>
      <c r="E36" s="45">
        <f>(J36*0.033)</f>
        <v>35.71920000000001</v>
      </c>
      <c r="F36" s="45">
        <f>(J36*0.05)</f>
        <v>54.120000000000005</v>
      </c>
      <c r="G36" s="45">
        <f>(J36*0.063)</f>
        <v>68.19120000000001</v>
      </c>
      <c r="H36" s="66">
        <f t="shared" si="2"/>
        <v>158.03040000000001</v>
      </c>
      <c r="I36" s="45">
        <f>(J36*0.854)</f>
        <v>924.3696000000001</v>
      </c>
      <c r="J36" s="45">
        <f t="shared" si="4"/>
        <v>1082.4</v>
      </c>
      <c r="K36" s="74">
        <f t="shared" si="5"/>
        <v>0.12112733119234534</v>
      </c>
      <c r="L36" s="8" t="s">
        <v>25</v>
      </c>
    </row>
    <row r="37" spans="1:12" ht="17.25" customHeight="1" thickBot="1">
      <c r="A37" s="82" t="s">
        <v>40</v>
      </c>
      <c r="B37" s="83">
        <v>2.882</v>
      </c>
      <c r="C37" s="83" t="s">
        <v>18</v>
      </c>
      <c r="D37" s="83">
        <v>550</v>
      </c>
      <c r="E37" s="83" t="s">
        <v>16</v>
      </c>
      <c r="F37" s="83" t="s">
        <v>16</v>
      </c>
      <c r="G37" s="83">
        <f>(J37*0.04)</f>
        <v>63.404</v>
      </c>
      <c r="H37" s="84">
        <f t="shared" si="2"/>
        <v>63.404</v>
      </c>
      <c r="I37" s="83">
        <f>(J37*0.96)</f>
        <v>1521.6960000000001</v>
      </c>
      <c r="J37" s="83">
        <f t="shared" si="4"/>
        <v>1585.1000000000001</v>
      </c>
      <c r="K37" s="85">
        <f t="shared" si="5"/>
        <v>0.17738260594326183</v>
      </c>
      <c r="L37" s="8"/>
    </row>
    <row r="38" spans="1:12" ht="10.5" customHeight="1" thickBot="1">
      <c r="A38" s="30"/>
      <c r="B38" s="46"/>
      <c r="C38" s="46"/>
      <c r="D38" s="46"/>
      <c r="E38" s="46"/>
      <c r="F38" s="46"/>
      <c r="G38" s="46"/>
      <c r="H38" s="67"/>
      <c r="I38" s="46"/>
      <c r="J38" s="46"/>
      <c r="K38" s="76"/>
      <c r="L38" s="8"/>
    </row>
    <row r="39" spans="1:12" ht="14.25" customHeight="1">
      <c r="A39" s="28" t="s">
        <v>19</v>
      </c>
      <c r="B39" s="47"/>
      <c r="C39" s="47"/>
      <c r="D39" s="47"/>
      <c r="E39" s="62">
        <f aca="true" t="shared" si="6" ref="E39:K39">E15+E22+E27</f>
        <v>1079.8435661231151</v>
      </c>
      <c r="F39" s="62">
        <f t="shared" si="6"/>
        <v>396.03335224623004</v>
      </c>
      <c r="G39" s="62">
        <f t="shared" si="6"/>
        <v>696.70374349246</v>
      </c>
      <c r="H39" s="62">
        <f t="shared" si="6"/>
        <v>2172.5806618618053</v>
      </c>
      <c r="I39" s="62">
        <f t="shared" si="6"/>
        <v>5938.640938293946</v>
      </c>
      <c r="J39" s="69">
        <f t="shared" si="6"/>
        <v>8111.883556155752</v>
      </c>
      <c r="K39" s="77">
        <f t="shared" si="6"/>
        <v>0.9077705156136526</v>
      </c>
      <c r="L39" s="8"/>
    </row>
    <row r="40" spans="1:12" ht="12.75">
      <c r="A40" s="14" t="s">
        <v>20</v>
      </c>
      <c r="B40" s="48"/>
      <c r="C40" s="48"/>
      <c r="D40" s="48"/>
      <c r="E40" s="45">
        <f aca="true" t="shared" si="7" ref="E40:J40">(E39*0.02)</f>
        <v>21.596871322462302</v>
      </c>
      <c r="F40" s="45">
        <f t="shared" si="7"/>
        <v>7.920667044924601</v>
      </c>
      <c r="G40" s="45">
        <f t="shared" si="7"/>
        <v>13.934074869849201</v>
      </c>
      <c r="H40" s="45">
        <f t="shared" si="7"/>
        <v>43.45161323723611</v>
      </c>
      <c r="I40" s="45">
        <f t="shared" si="7"/>
        <v>118.77281876587892</v>
      </c>
      <c r="J40" s="70">
        <f t="shared" si="7"/>
        <v>162.23767112311504</v>
      </c>
      <c r="K40" s="78">
        <f>J40/J$42</f>
        <v>0.018155410312273055</v>
      </c>
      <c r="L40" s="24">
        <f>+J40+J41</f>
        <v>824.1673693054245</v>
      </c>
    </row>
    <row r="41" spans="1:12" ht="12.75">
      <c r="A41" s="14" t="s">
        <v>41</v>
      </c>
      <c r="B41" s="48"/>
      <c r="C41" s="48"/>
      <c r="D41" s="48"/>
      <c r="E41" s="45">
        <f aca="true" t="shared" si="8" ref="E41:J41">SUM(E39:E40)*0.08</f>
        <v>88.11523499564619</v>
      </c>
      <c r="F41" s="45">
        <f t="shared" si="8"/>
        <v>32.31632154329237</v>
      </c>
      <c r="G41" s="45">
        <f t="shared" si="8"/>
        <v>56.85102546898474</v>
      </c>
      <c r="H41" s="45">
        <f t="shared" si="8"/>
        <v>177.2825820079233</v>
      </c>
      <c r="I41" s="45">
        <f t="shared" si="8"/>
        <v>484.593100564786</v>
      </c>
      <c r="J41" s="70">
        <f t="shared" si="8"/>
        <v>661.9296981823094</v>
      </c>
      <c r="K41" s="78">
        <f>J41/J$42</f>
        <v>0.07407407407407407</v>
      </c>
      <c r="L41" s="8"/>
    </row>
    <row r="42" spans="1:12" ht="16.5" customHeight="1" thickBot="1">
      <c r="A42" s="17" t="s">
        <v>21</v>
      </c>
      <c r="B42" s="49"/>
      <c r="C42" s="49"/>
      <c r="D42" s="49"/>
      <c r="E42" s="63">
        <f aca="true" t="shared" si="9" ref="E42:J42">SUM(E39:E41)</f>
        <v>1189.5556724412236</v>
      </c>
      <c r="F42" s="63">
        <f t="shared" si="9"/>
        <v>436.270340834447</v>
      </c>
      <c r="G42" s="63">
        <f t="shared" si="9"/>
        <v>767.4888438312939</v>
      </c>
      <c r="H42" s="63">
        <f t="shared" si="9"/>
        <v>2393.3148571069646</v>
      </c>
      <c r="I42" s="63">
        <f t="shared" si="9"/>
        <v>6542.006857624611</v>
      </c>
      <c r="J42" s="63">
        <f t="shared" si="9"/>
        <v>8936.050925461177</v>
      </c>
      <c r="K42" s="79">
        <f>SUM(K39:K41)</f>
        <v>0.9999999999999998</v>
      </c>
      <c r="L42" s="8"/>
    </row>
    <row r="43" spans="1:14" s="2" customFormat="1" ht="18.75" customHeight="1">
      <c r="A43" s="29" t="s">
        <v>45</v>
      </c>
      <c r="B43" s="48"/>
      <c r="C43" s="34"/>
      <c r="D43" s="48"/>
      <c r="E43" s="48"/>
      <c r="F43" s="64"/>
      <c r="G43" s="64"/>
      <c r="H43" s="64"/>
      <c r="I43" s="68"/>
      <c r="J43" s="64"/>
      <c r="K43" s="80">
        <v>200</v>
      </c>
      <c r="L43" s="15"/>
      <c r="M43" s="5"/>
      <c r="N43" s="5"/>
    </row>
    <row r="44" spans="1:14" s="2" customFormat="1" ht="36" customHeight="1">
      <c r="A44" s="87" t="s">
        <v>51</v>
      </c>
      <c r="B44" s="87"/>
      <c r="C44" s="87"/>
      <c r="D44" s="87"/>
      <c r="E44" s="87"/>
      <c r="F44" s="87"/>
      <c r="G44" s="87"/>
      <c r="H44" s="87"/>
      <c r="I44" s="87"/>
      <c r="J44" s="87"/>
      <c r="K44" s="80"/>
      <c r="L44" s="15"/>
      <c r="M44" s="5"/>
      <c r="N44" s="5"/>
    </row>
    <row r="45" spans="1:14" s="4" customFormat="1" ht="15.75" customHeight="1">
      <c r="A45" s="93" t="s">
        <v>46</v>
      </c>
      <c r="B45" s="93"/>
      <c r="C45" s="93"/>
      <c r="D45" s="93"/>
      <c r="E45" s="93"/>
      <c r="F45" s="93"/>
      <c r="G45" s="93"/>
      <c r="H45" s="93"/>
      <c r="I45" s="93"/>
      <c r="J45" s="93"/>
      <c r="K45" s="35"/>
      <c r="L45" s="15"/>
      <c r="M45" s="25"/>
      <c r="N45" s="26"/>
    </row>
    <row r="46" spans="1:14" s="4" customFormat="1" ht="15" customHeight="1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35"/>
      <c r="L46" s="15"/>
      <c r="M46" s="27"/>
      <c r="N46" s="27"/>
    </row>
    <row r="47" spans="1:14" s="4" customFormat="1" ht="12" customHeight="1">
      <c r="A47" s="15"/>
      <c r="B47" s="50"/>
      <c r="C47" s="56"/>
      <c r="D47" s="58"/>
      <c r="E47" s="50"/>
      <c r="F47" s="50"/>
      <c r="G47" s="58"/>
      <c r="H47" s="58"/>
      <c r="I47" s="58"/>
      <c r="J47" s="50"/>
      <c r="K47" s="35"/>
      <c r="L47" s="15"/>
      <c r="M47" s="27"/>
      <c r="N47" s="27"/>
    </row>
    <row r="48" spans="1:14" s="4" customFormat="1" ht="13.5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27"/>
      <c r="N48" s="27"/>
    </row>
    <row r="49" spans="1:14" s="4" customFormat="1" ht="14.25" customHeight="1">
      <c r="A49" s="15"/>
      <c r="B49" s="50"/>
      <c r="C49" s="35"/>
      <c r="D49" s="50"/>
      <c r="E49" s="50"/>
      <c r="F49" s="50"/>
      <c r="G49" s="50"/>
      <c r="H49" s="50"/>
      <c r="I49" s="50"/>
      <c r="J49" s="50"/>
      <c r="K49" s="35"/>
      <c r="L49" s="15"/>
      <c r="M49" s="27"/>
      <c r="N49" s="27"/>
    </row>
    <row r="50" spans="1:14" s="4" customFormat="1" ht="12.75">
      <c r="A50" s="16"/>
      <c r="B50" s="50"/>
      <c r="C50" s="35"/>
      <c r="D50" s="50"/>
      <c r="E50" s="50"/>
      <c r="F50" s="50"/>
      <c r="G50" s="50"/>
      <c r="H50" s="50"/>
      <c r="I50" s="50"/>
      <c r="J50" s="50"/>
      <c r="K50" s="35"/>
      <c r="L50" s="8"/>
      <c r="M50" s="27"/>
      <c r="N50" s="27"/>
    </row>
    <row r="51" spans="1:12" ht="6.75" customHeight="1">
      <c r="A51" s="16"/>
      <c r="B51" s="50"/>
      <c r="C51" s="35"/>
      <c r="D51" s="50"/>
      <c r="E51" s="50"/>
      <c r="F51" s="50"/>
      <c r="G51" s="50"/>
      <c r="H51" s="50"/>
      <c r="I51" s="50"/>
      <c r="J51" s="50"/>
      <c r="K51" s="35"/>
      <c r="L51" s="8"/>
    </row>
    <row r="52" spans="1:12" ht="12.7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8"/>
    </row>
    <row r="53" spans="1:12" ht="12.75">
      <c r="A53" s="9"/>
      <c r="B53" s="51"/>
      <c r="C53" s="51"/>
      <c r="D53" s="51"/>
      <c r="E53" s="51"/>
      <c r="F53" s="51"/>
      <c r="G53" s="51"/>
      <c r="H53" s="51"/>
      <c r="I53" s="51"/>
      <c r="J53" s="51"/>
      <c r="K53" s="36"/>
      <c r="L53" s="8"/>
    </row>
    <row r="54" spans="1:12" ht="12.75">
      <c r="A54" s="9"/>
      <c r="B54" s="51"/>
      <c r="C54" s="51"/>
      <c r="D54" s="51"/>
      <c r="E54" s="51"/>
      <c r="F54" s="51"/>
      <c r="G54" s="51"/>
      <c r="H54" s="51"/>
      <c r="I54" s="51"/>
      <c r="J54" s="51"/>
      <c r="K54" s="36"/>
      <c r="L54" s="8"/>
    </row>
    <row r="55" spans="1:12" ht="12.75">
      <c r="A55" s="9"/>
      <c r="B55" s="51"/>
      <c r="C55" s="51"/>
      <c r="D55" s="51"/>
      <c r="E55" s="51"/>
      <c r="F55" s="51"/>
      <c r="G55" s="51"/>
      <c r="H55" s="51"/>
      <c r="I55" s="51"/>
      <c r="J55" s="51"/>
      <c r="K55" s="36"/>
      <c r="L55" s="8"/>
    </row>
    <row r="56" spans="1:12" ht="12.75">
      <c r="A56" s="9"/>
      <c r="B56" s="51"/>
      <c r="C56" s="51"/>
      <c r="D56" s="51"/>
      <c r="E56" s="51"/>
      <c r="F56" s="51"/>
      <c r="G56" s="51"/>
      <c r="H56" s="51"/>
      <c r="I56" s="51"/>
      <c r="J56" s="51"/>
      <c r="K56" s="36"/>
      <c r="L56" s="8"/>
    </row>
    <row r="57" spans="1:12" ht="12.75">
      <c r="A57" s="9"/>
      <c r="B57" s="51"/>
      <c r="C57" s="51"/>
      <c r="D57" s="51"/>
      <c r="E57" s="51"/>
      <c r="F57" s="51"/>
      <c r="G57" s="51"/>
      <c r="H57" s="51"/>
      <c r="I57" s="51"/>
      <c r="J57" s="51"/>
      <c r="K57" s="36"/>
      <c r="L57" s="8"/>
    </row>
    <row r="58" spans="1:12" ht="12.75">
      <c r="A58" s="9"/>
      <c r="B58" s="51"/>
      <c r="C58" s="51"/>
      <c r="D58" s="51"/>
      <c r="E58" s="51"/>
      <c r="F58" s="51"/>
      <c r="G58" s="51"/>
      <c r="H58" s="51"/>
      <c r="I58" s="51"/>
      <c r="J58" s="51"/>
      <c r="K58" s="36"/>
      <c r="L58" s="8"/>
    </row>
    <row r="59" spans="1:12" ht="12.75">
      <c r="A59" s="9"/>
      <c r="B59" s="51"/>
      <c r="C59" s="51"/>
      <c r="D59" s="51"/>
      <c r="E59" s="51"/>
      <c r="F59" s="51"/>
      <c r="G59" s="51"/>
      <c r="H59" s="51"/>
      <c r="I59" s="51"/>
      <c r="J59" s="51"/>
      <c r="K59" s="36"/>
      <c r="L59" s="8"/>
    </row>
    <row r="60" spans="1:12" ht="12.75">
      <c r="A60" s="9"/>
      <c r="B60" s="51"/>
      <c r="C60" s="51"/>
      <c r="D60" s="51"/>
      <c r="E60" s="51"/>
      <c r="F60" s="51"/>
      <c r="G60" s="51"/>
      <c r="H60" s="51"/>
      <c r="I60" s="51"/>
      <c r="J60" s="51"/>
      <c r="K60" s="36"/>
      <c r="L60" s="8"/>
    </row>
    <row r="61" spans="1:12" ht="12.75">
      <c r="A61" s="9"/>
      <c r="B61" s="52"/>
      <c r="C61" s="51"/>
      <c r="D61" s="52"/>
      <c r="E61" s="51"/>
      <c r="F61" s="51"/>
      <c r="G61" s="51"/>
      <c r="H61" s="51"/>
      <c r="I61" s="51"/>
      <c r="J61" s="51"/>
      <c r="K61" s="36"/>
      <c r="L61" s="8"/>
    </row>
    <row r="62" spans="1:12" ht="12.75">
      <c r="A62" s="9"/>
      <c r="B62" s="52"/>
      <c r="C62" s="51"/>
      <c r="D62" s="52"/>
      <c r="E62" s="51"/>
      <c r="F62" s="51"/>
      <c r="G62" s="51"/>
      <c r="H62" s="51"/>
      <c r="I62" s="51"/>
      <c r="J62" s="51"/>
      <c r="K62" s="36"/>
      <c r="L62" s="8"/>
    </row>
    <row r="63" spans="1:12" ht="12.75">
      <c r="A63" s="9"/>
      <c r="B63" s="51"/>
      <c r="C63" s="51"/>
      <c r="D63" s="52"/>
      <c r="E63" s="51"/>
      <c r="F63" s="51"/>
      <c r="G63" s="51"/>
      <c r="H63" s="51"/>
      <c r="I63" s="51"/>
      <c r="J63" s="51"/>
      <c r="K63" s="36"/>
      <c r="L63" s="8"/>
    </row>
    <row r="64" spans="1:12" ht="12.75">
      <c r="A64" s="9"/>
      <c r="B64" s="51"/>
      <c r="C64" s="51"/>
      <c r="D64" s="52"/>
      <c r="E64" s="52"/>
      <c r="F64" s="52"/>
      <c r="G64" s="52"/>
      <c r="H64" s="52"/>
      <c r="I64" s="52"/>
      <c r="J64" s="52"/>
      <c r="K64" s="36"/>
      <c r="L64" s="8"/>
    </row>
    <row r="65" spans="1:12" ht="12.75">
      <c r="A65" s="9"/>
      <c r="B65" s="51"/>
      <c r="C65" s="51"/>
      <c r="D65" s="52"/>
      <c r="E65" s="52"/>
      <c r="F65" s="52"/>
      <c r="G65" s="52"/>
      <c r="H65" s="52"/>
      <c r="I65" s="52"/>
      <c r="J65" s="52"/>
      <c r="K65" s="36"/>
      <c r="L65" s="8"/>
    </row>
    <row r="66" spans="1:12" ht="12.75">
      <c r="A66" s="9"/>
      <c r="B66" s="51"/>
      <c r="C66" s="51"/>
      <c r="D66" s="52"/>
      <c r="E66" s="52"/>
      <c r="F66" s="52"/>
      <c r="G66" s="52"/>
      <c r="H66" s="52"/>
      <c r="I66" s="52"/>
      <c r="J66" s="52"/>
      <c r="K66" s="36"/>
      <c r="L66" s="8"/>
    </row>
    <row r="67" spans="1:12" ht="12.75">
      <c r="A67" s="9"/>
      <c r="B67" s="51"/>
      <c r="C67" s="51"/>
      <c r="D67" s="52"/>
      <c r="E67" s="52"/>
      <c r="F67" s="52"/>
      <c r="G67" s="52"/>
      <c r="H67" s="52"/>
      <c r="I67" s="52"/>
      <c r="J67" s="52"/>
      <c r="K67" s="36"/>
      <c r="L67" s="8"/>
    </row>
    <row r="68" spans="1:12" ht="12.75">
      <c r="A68" s="9"/>
      <c r="B68" s="51"/>
      <c r="C68" s="51"/>
      <c r="D68" s="52"/>
      <c r="E68" s="52"/>
      <c r="F68" s="52"/>
      <c r="G68" s="52"/>
      <c r="H68" s="52"/>
      <c r="I68" s="52"/>
      <c r="J68" s="52"/>
      <c r="K68" s="36"/>
      <c r="L68" s="8"/>
    </row>
    <row r="69" spans="1:12" ht="12.75">
      <c r="A69" s="9"/>
      <c r="B69" s="51"/>
      <c r="C69" s="51"/>
      <c r="D69" s="52"/>
      <c r="E69" s="52"/>
      <c r="F69" s="52"/>
      <c r="G69" s="52"/>
      <c r="H69" s="52"/>
      <c r="I69" s="52"/>
      <c r="J69" s="52"/>
      <c r="K69" s="36"/>
      <c r="L69" s="8"/>
    </row>
    <row r="70" spans="1:12" ht="12.75">
      <c r="A70" s="9"/>
      <c r="B70" s="51"/>
      <c r="C70" s="51"/>
      <c r="D70" s="52"/>
      <c r="E70" s="52"/>
      <c r="F70" s="52"/>
      <c r="G70" s="52"/>
      <c r="H70" s="52"/>
      <c r="I70" s="52"/>
      <c r="J70" s="52"/>
      <c r="K70" s="36"/>
      <c r="L70" s="8"/>
    </row>
    <row r="71" spans="1:12" ht="12.75">
      <c r="A71" s="9"/>
      <c r="B71" s="52"/>
      <c r="C71" s="51"/>
      <c r="D71" s="52"/>
      <c r="E71" s="52"/>
      <c r="F71" s="52"/>
      <c r="G71" s="52"/>
      <c r="H71" s="52"/>
      <c r="I71" s="52"/>
      <c r="J71" s="52"/>
      <c r="K71" s="36"/>
      <c r="L71" s="8"/>
    </row>
    <row r="72" spans="1:12" ht="12.75">
      <c r="A72" s="9"/>
      <c r="B72" s="52"/>
      <c r="C72" s="51"/>
      <c r="D72" s="52"/>
      <c r="E72" s="52"/>
      <c r="F72" s="52"/>
      <c r="G72" s="52"/>
      <c r="H72" s="52"/>
      <c r="I72" s="52"/>
      <c r="J72" s="52"/>
      <c r="K72" s="36"/>
      <c r="L72" s="8"/>
    </row>
    <row r="73" spans="1:12" ht="12.75">
      <c r="A73" s="9"/>
      <c r="B73" s="52"/>
      <c r="C73" s="51"/>
      <c r="D73" s="52"/>
      <c r="E73" s="52"/>
      <c r="F73" s="52"/>
      <c r="G73" s="52"/>
      <c r="H73" s="52"/>
      <c r="I73" s="52"/>
      <c r="J73" s="52"/>
      <c r="K73" s="36"/>
      <c r="L73" s="8"/>
    </row>
    <row r="74" spans="1:12" ht="12.75">
      <c r="A74" s="9"/>
      <c r="B74" s="51"/>
      <c r="C74" s="51"/>
      <c r="D74" s="52"/>
      <c r="E74" s="52"/>
      <c r="F74" s="52"/>
      <c r="G74" s="52"/>
      <c r="H74" s="52"/>
      <c r="I74" s="52"/>
      <c r="J74" s="52"/>
      <c r="K74" s="36"/>
      <c r="L74" s="8"/>
    </row>
    <row r="75" spans="1:12" ht="12.75">
      <c r="A75" s="9"/>
      <c r="B75" s="51"/>
      <c r="C75" s="51"/>
      <c r="D75" s="52"/>
      <c r="E75" s="52"/>
      <c r="F75" s="52"/>
      <c r="G75" s="52"/>
      <c r="H75" s="52"/>
      <c r="I75" s="52"/>
      <c r="J75" s="52"/>
      <c r="K75" s="36"/>
      <c r="L75" s="8"/>
    </row>
    <row r="76" spans="1:12" ht="12.75">
      <c r="A76" s="9"/>
      <c r="B76" s="52"/>
      <c r="C76" s="51"/>
      <c r="D76" s="52"/>
      <c r="E76" s="52"/>
      <c r="F76" s="52"/>
      <c r="G76" s="52"/>
      <c r="H76" s="52"/>
      <c r="I76" s="52"/>
      <c r="J76" s="52"/>
      <c r="K76" s="36"/>
      <c r="L76" s="8"/>
    </row>
    <row r="77" spans="1:12" ht="12.75">
      <c r="A77" s="9"/>
      <c r="B77" s="52"/>
      <c r="C77" s="51"/>
      <c r="D77" s="52"/>
      <c r="E77" s="52"/>
      <c r="F77" s="52"/>
      <c r="G77" s="52"/>
      <c r="H77" s="52"/>
      <c r="I77" s="52"/>
      <c r="J77" s="52"/>
      <c r="K77" s="36"/>
      <c r="L77" s="8"/>
    </row>
    <row r="78" spans="1:12" ht="12.75">
      <c r="A78" s="9"/>
      <c r="B78" s="52"/>
      <c r="C78" s="51"/>
      <c r="D78" s="52"/>
      <c r="E78" s="52"/>
      <c r="F78" s="52"/>
      <c r="G78" s="52"/>
      <c r="H78" s="52"/>
      <c r="I78" s="52"/>
      <c r="J78" s="52"/>
      <c r="K78" s="36"/>
      <c r="L78" s="8"/>
    </row>
    <row r="79" spans="1:12" ht="12.75">
      <c r="A79" s="9"/>
      <c r="B79" s="52"/>
      <c r="C79" s="51"/>
      <c r="D79" s="52"/>
      <c r="E79" s="52"/>
      <c r="F79" s="52"/>
      <c r="G79" s="52"/>
      <c r="H79" s="52"/>
      <c r="I79" s="52"/>
      <c r="J79" s="52"/>
      <c r="K79" s="36"/>
      <c r="L79" s="8"/>
    </row>
    <row r="80" spans="1:12" ht="12.75">
      <c r="A80" s="9"/>
      <c r="B80" s="52"/>
      <c r="C80" s="51"/>
      <c r="D80" s="52"/>
      <c r="E80" s="52"/>
      <c r="F80" s="52"/>
      <c r="G80" s="52"/>
      <c r="H80" s="52"/>
      <c r="I80" s="52"/>
      <c r="J80" s="52"/>
      <c r="K80" s="36"/>
      <c r="L80" s="8"/>
    </row>
    <row r="81" spans="1:12" ht="12.75">
      <c r="A81" s="9"/>
      <c r="B81" s="52"/>
      <c r="C81" s="51"/>
      <c r="D81" s="52"/>
      <c r="E81" s="52"/>
      <c r="F81" s="52"/>
      <c r="G81" s="52"/>
      <c r="H81" s="52"/>
      <c r="I81" s="52"/>
      <c r="J81" s="52"/>
      <c r="K81" s="36"/>
      <c r="L81" s="8"/>
    </row>
    <row r="82" spans="2:10" ht="12.75">
      <c r="B82" s="53"/>
      <c r="D82" s="53"/>
      <c r="E82" s="53"/>
      <c r="F82" s="53"/>
      <c r="G82" s="53"/>
      <c r="H82" s="53"/>
      <c r="I82" s="53"/>
      <c r="J82" s="53"/>
    </row>
    <row r="83" spans="2:10" ht="12.75">
      <c r="B83" s="53"/>
      <c r="D83" s="53"/>
      <c r="E83" s="53"/>
      <c r="F83" s="53"/>
      <c r="G83" s="53"/>
      <c r="H83" s="53"/>
      <c r="I83" s="53"/>
      <c r="J83" s="53"/>
    </row>
    <row r="84" spans="2:10" ht="12.75">
      <c r="B84" s="53"/>
      <c r="D84" s="53"/>
      <c r="E84" s="53"/>
      <c r="F84" s="53"/>
      <c r="G84" s="53"/>
      <c r="H84" s="53"/>
      <c r="I84" s="53"/>
      <c r="J84" s="53"/>
    </row>
    <row r="85" spans="2:10" ht="12.75">
      <c r="B85" s="53"/>
      <c r="D85" s="53"/>
      <c r="E85" s="53"/>
      <c r="F85" s="53"/>
      <c r="G85" s="53"/>
      <c r="H85" s="53"/>
      <c r="I85" s="53"/>
      <c r="J85" s="53"/>
    </row>
  </sheetData>
  <sheetProtection/>
  <mergeCells count="11">
    <mergeCell ref="A45:J45"/>
    <mergeCell ref="A46:J46"/>
    <mergeCell ref="A44:J44"/>
    <mergeCell ref="A48:L48"/>
    <mergeCell ref="A4:K4"/>
    <mergeCell ref="A5:K5"/>
    <mergeCell ref="A52:K52"/>
    <mergeCell ref="K11:K13"/>
    <mergeCell ref="A7:K7"/>
    <mergeCell ref="A8:K8"/>
    <mergeCell ref="H11:H13"/>
  </mergeCells>
  <printOptions/>
  <pageMargins left="1.33" right="0.15748031496062992" top="0.33" bottom="0.2755905511811024" header="0" footer="0"/>
  <pageSetup horizontalDpi="300" verticalDpi="3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Ysabel Calderon</cp:lastModifiedBy>
  <cp:lastPrinted>2017-04-25T17:26:18Z</cp:lastPrinted>
  <dcterms:created xsi:type="dcterms:W3CDTF">2007-12-07T16:38:34Z</dcterms:created>
  <dcterms:modified xsi:type="dcterms:W3CDTF">2024-05-08T14:28:17Z</dcterms:modified>
  <cp:category/>
  <cp:version/>
  <cp:contentType/>
  <cp:contentStatus/>
</cp:coreProperties>
</file>