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</sheets>
  <definedNames>
    <definedName name="_xlnm.Print_Area" localSheetId="0">'Hoja1'!$A$6:$K$51</definedName>
  </definedNames>
  <calcPr fullCalcOnLoad="1"/>
</workbook>
</file>

<file path=xl/sharedStrings.xml><?xml version="1.0" encoding="utf-8"?>
<sst xmlns="http://schemas.openxmlformats.org/spreadsheetml/2006/main" count="72" uniqueCount="55">
  <si>
    <t xml:space="preserve">Valor </t>
  </si>
  <si>
    <t>1er. Año</t>
  </si>
  <si>
    <t>2do. Año</t>
  </si>
  <si>
    <t>3er. Año</t>
  </si>
  <si>
    <t>4-10 Año</t>
  </si>
  <si>
    <t>Costo</t>
  </si>
  <si>
    <t>Actividad</t>
  </si>
  <si>
    <t>Cantidad</t>
  </si>
  <si>
    <t>Unidad</t>
  </si>
  <si>
    <t>Unitario</t>
  </si>
  <si>
    <t>Total</t>
  </si>
  <si>
    <t>1- INSUMOS</t>
  </si>
  <si>
    <t xml:space="preserve">   .1 Compra de Plántulas de Siembra</t>
  </si>
  <si>
    <t>Planta</t>
  </si>
  <si>
    <t xml:space="preserve">   .2 Compra para la Resiembra</t>
  </si>
  <si>
    <t xml:space="preserve">   .3 Compra de Fertilizante </t>
  </si>
  <si>
    <t xml:space="preserve">      (15-15-15)</t>
  </si>
  <si>
    <t>Quintal</t>
  </si>
  <si>
    <t xml:space="preserve">   .4 Compra de Insecticida </t>
  </si>
  <si>
    <t>Litro</t>
  </si>
  <si>
    <t xml:space="preserve">   .5 Compra de Fungicida</t>
  </si>
  <si>
    <t xml:space="preserve">      (Dithane M-60)</t>
  </si>
  <si>
    <t>2-  PREPARACION DEL TERRENO</t>
  </si>
  <si>
    <t xml:space="preserve">   .1 Corte (Mecanizado)</t>
  </si>
  <si>
    <t>Tarea</t>
  </si>
  <si>
    <t xml:space="preserve">   .2 Cruce (Mecanizado)</t>
  </si>
  <si>
    <t xml:space="preserve">   .3 Rastra (Mecanicado)</t>
  </si>
  <si>
    <t>3-  MANO DE OBRA</t>
  </si>
  <si>
    <t xml:space="preserve">   .1  Marcado y Alineación de Hoyos</t>
  </si>
  <si>
    <t>Hom-Día</t>
  </si>
  <si>
    <t xml:space="preserve">   .2  Transporte de Plantas</t>
  </si>
  <si>
    <t xml:space="preserve">   .3  Construcción de Hoyos Siembra</t>
  </si>
  <si>
    <t xml:space="preserve">   .4  Construccion de Hoyos Resiembra</t>
  </si>
  <si>
    <t xml:space="preserve">   .5  Transporte de Fertilizantes</t>
  </si>
  <si>
    <t xml:space="preserve">   .6  Aplicación de Fertilizantes</t>
  </si>
  <si>
    <t xml:space="preserve">   .7  Aplicación de Pesticidas</t>
  </si>
  <si>
    <t xml:space="preserve">   .8  Desyerbos</t>
  </si>
  <si>
    <t xml:space="preserve">   .9  Deschuponado y Poda</t>
  </si>
  <si>
    <t xml:space="preserve">   .10 Recolección y Empaque</t>
  </si>
  <si>
    <t xml:space="preserve">  SUBTOTAL </t>
  </si>
  <si>
    <t xml:space="preserve">  GASTOS ADMINISTRATIVOS (2%)</t>
  </si>
  <si>
    <t xml:space="preserve">  TOTAL GENERAL</t>
  </si>
  <si>
    <t>Participación (%) por Actividad</t>
  </si>
  <si>
    <t>Total Costo Fomento</t>
  </si>
  <si>
    <t>COSTO FOMENTO: desde el año 1 al 3   Y  COSTO MANTENIMIENTO:  del cuarto año en adelante.</t>
  </si>
  <si>
    <t>Una Hectárea equivale a 15.9 tareas.</t>
  </si>
  <si>
    <t xml:space="preserve">Notas: </t>
  </si>
  <si>
    <t xml:space="preserve">             Estimados por la División de Estudios Económicos.</t>
  </si>
  <si>
    <t xml:space="preserve">  PAGOS INTERESES 8.0% ANUAL (12 meses 8.0%)</t>
  </si>
  <si>
    <t xml:space="preserve">      (Cydim)</t>
  </si>
  <si>
    <t xml:space="preserve"> Precios de los insumos actualizados a marzo, 2022.</t>
  </si>
  <si>
    <t>Viceministerio de Planificación Sectorial Agropecuaria</t>
  </si>
  <si>
    <t>Departamento de Economía Agropecuaria y Estadísticas</t>
  </si>
  <si>
    <r>
      <rPr>
        <b/>
        <sz val="9"/>
        <rFont val="Calibri"/>
        <family val="2"/>
      </rPr>
      <t xml:space="preserve">Fuente: </t>
    </r>
    <r>
      <rPr>
        <sz val="9"/>
        <rFont val="Calibri"/>
        <family val="2"/>
      </rPr>
      <t xml:space="preserve"> Ministerio de Agricultura, Departamento de Economía Agropecuaria y Estadísticas.</t>
    </r>
  </si>
  <si>
    <t xml:space="preserve"> Costos Variables de Producción del Limon Persa, 2022 (RD$ / tarea)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</si>
</sst>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0.0000_)"/>
    <numFmt numFmtId="189" formatCode="0.00000"/>
    <numFmt numFmtId="190" formatCode="0.0000"/>
    <numFmt numFmtId="191" formatCode="_(* #,##0.000_);_(* \(#,##0.000\);_(* &quot;-&quot;??_);_(@_)"/>
    <numFmt numFmtId="192" formatCode="_(* #,##0.0000_);_(* \(#,##0.0000\);_(* &quot;-&quot;??_);_(@_)"/>
    <numFmt numFmtId="193" formatCode="#,##0.00_ ;\-#,##0.00\ "/>
    <numFmt numFmtId="194" formatCode="#,##0.0\ _€;\-#,##0.0\ _€"/>
    <numFmt numFmtId="195" formatCode="0_)"/>
    <numFmt numFmtId="196" formatCode="_-* #,##0.0000\ _€_-;\-* #,##0.0000\ _€_-;_-* &quot;-&quot;????\ _€_-;_-@_-"/>
    <numFmt numFmtId="197" formatCode="#,##0.0"/>
  </numFmts>
  <fonts count="55">
    <font>
      <sz val="10"/>
      <name val="Arial"/>
      <family val="0"/>
    </font>
    <font>
      <sz val="11"/>
      <color indexed="8"/>
      <name val="Baskerville Old Face"/>
      <family val="1"/>
    </font>
    <font>
      <sz val="10"/>
      <name val="Baskerville Old Face"/>
      <family val="1"/>
    </font>
    <font>
      <b/>
      <sz val="10"/>
      <name val="Baskerville Old Face"/>
      <family val="1"/>
    </font>
    <font>
      <sz val="8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Baskerville Old Face"/>
      <family val="1"/>
    </font>
    <font>
      <sz val="10"/>
      <color indexed="9"/>
      <name val="Baskerville Old Face"/>
      <family val="1"/>
    </font>
    <font>
      <b/>
      <sz val="9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skerville Old Face"/>
      <family val="1"/>
    </font>
    <font>
      <sz val="10"/>
      <color theme="0"/>
      <name val="Baskerville Old Face"/>
      <family val="1"/>
    </font>
    <font>
      <b/>
      <sz val="9"/>
      <color theme="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8" fontId="2" fillId="0" borderId="0" xfId="0" applyNumberFormat="1" applyFont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43" fontId="2" fillId="33" borderId="0" xfId="47" applyFont="1" applyFill="1" applyAlignment="1">
      <alignment/>
    </xf>
    <xf numFmtId="187" fontId="2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88" fontId="2" fillId="33" borderId="0" xfId="0" applyNumberFormat="1" applyFont="1" applyFill="1" applyAlignment="1" applyProtection="1">
      <alignment/>
      <protection/>
    </xf>
    <xf numFmtId="0" fontId="50" fillId="33" borderId="0" xfId="0" applyFont="1" applyFill="1" applyAlignment="1">
      <alignment/>
    </xf>
    <xf numFmtId="39" fontId="51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9" fillId="33" borderId="10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>
      <alignment/>
    </xf>
    <xf numFmtId="0" fontId="8" fillId="33" borderId="10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center"/>
      <protection/>
    </xf>
    <xf numFmtId="9" fontId="6" fillId="33" borderId="12" xfId="53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9" fontId="9" fillId="33" borderId="13" xfId="53" applyFont="1" applyFill="1" applyBorder="1" applyAlignment="1">
      <alignment horizontal="center"/>
    </xf>
    <xf numFmtId="0" fontId="8" fillId="33" borderId="14" xfId="0" applyFont="1" applyFill="1" applyBorder="1" applyAlignment="1" applyProtection="1">
      <alignment horizontal="left"/>
      <protection/>
    </xf>
    <xf numFmtId="0" fontId="8" fillId="33" borderId="15" xfId="0" applyFont="1" applyFill="1" applyBorder="1" applyAlignment="1" applyProtection="1">
      <alignment horizontal="center"/>
      <protection/>
    </xf>
    <xf numFmtId="9" fontId="6" fillId="33" borderId="16" xfId="53" applyFont="1" applyFill="1" applyBorder="1" applyAlignment="1">
      <alignment horizontal="center"/>
    </xf>
    <xf numFmtId="0" fontId="9" fillId="33" borderId="17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/>
    </xf>
    <xf numFmtId="9" fontId="9" fillId="33" borderId="12" xfId="53" applyFont="1" applyFill="1" applyBorder="1" applyAlignment="1" applyProtection="1">
      <alignment horizontal="center"/>
      <protection/>
    </xf>
    <xf numFmtId="0" fontId="8" fillId="33" borderId="17" xfId="0" applyFont="1" applyFill="1" applyBorder="1" applyAlignment="1" applyProtection="1">
      <alignment horizontal="left"/>
      <protection/>
    </xf>
    <xf numFmtId="9" fontId="8" fillId="33" borderId="12" xfId="53" applyFont="1" applyFill="1" applyBorder="1" applyAlignment="1" applyProtection="1">
      <alignment horizontal="center"/>
      <protection/>
    </xf>
    <xf numFmtId="0" fontId="8" fillId="33" borderId="0" xfId="0" applyFont="1" applyFill="1" applyAlignment="1">
      <alignment/>
    </xf>
    <xf numFmtId="7" fontId="8" fillId="33" borderId="0" xfId="0" applyNumberFormat="1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0" fontId="52" fillId="34" borderId="18" xfId="0" applyFont="1" applyFill="1" applyBorder="1" applyAlignment="1" applyProtection="1">
      <alignment horizontal="left"/>
      <protection/>
    </xf>
    <xf numFmtId="0" fontId="52" fillId="34" borderId="19" xfId="0" applyFont="1" applyFill="1" applyBorder="1" applyAlignment="1">
      <alignment/>
    </xf>
    <xf numFmtId="9" fontId="52" fillId="34" borderId="20" xfId="53" applyFont="1" applyFill="1" applyBorder="1" applyAlignment="1" applyProtection="1">
      <alignment horizontal="center"/>
      <protection/>
    </xf>
    <xf numFmtId="0" fontId="8" fillId="33" borderId="21" xfId="0" applyFont="1" applyFill="1" applyBorder="1" applyAlignment="1" applyProtection="1">
      <alignment horizontal="left"/>
      <protection/>
    </xf>
    <xf numFmtId="188" fontId="8" fillId="33" borderId="22" xfId="0" applyNumberFormat="1" applyFont="1" applyFill="1" applyBorder="1" applyAlignment="1" applyProtection="1">
      <alignment/>
      <protection/>
    </xf>
    <xf numFmtId="0" fontId="8" fillId="33" borderId="22" xfId="0" applyFont="1" applyFill="1" applyBorder="1" applyAlignment="1" applyProtection="1">
      <alignment horizontal="center"/>
      <protection/>
    </xf>
    <xf numFmtId="9" fontId="6" fillId="33" borderId="22" xfId="53" applyFont="1" applyFill="1" applyBorder="1" applyAlignment="1">
      <alignment horizontal="center"/>
    </xf>
    <xf numFmtId="177" fontId="2" fillId="33" borderId="0" xfId="0" applyNumberFormat="1" applyFont="1" applyFill="1" applyAlignment="1">
      <alignment/>
    </xf>
    <xf numFmtId="0" fontId="7" fillId="33" borderId="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>
      <alignment horizontal="center"/>
    </xf>
    <xf numFmtId="192" fontId="8" fillId="33" borderId="11" xfId="47" applyNumberFormat="1" applyFont="1" applyFill="1" applyBorder="1" applyAlignment="1">
      <alignment horizontal="center"/>
    </xf>
    <xf numFmtId="188" fontId="8" fillId="33" borderId="11" xfId="0" applyNumberFormat="1" applyFont="1" applyFill="1" applyBorder="1" applyAlignment="1" applyProtection="1">
      <alignment horizontal="center"/>
      <protection/>
    </xf>
    <xf numFmtId="188" fontId="8" fillId="33" borderId="15" xfId="0" applyNumberFormat="1" applyFont="1" applyFill="1" applyBorder="1" applyAlignment="1" applyProtection="1">
      <alignment horizontal="center"/>
      <protection/>
    </xf>
    <xf numFmtId="4" fontId="2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/>
    </xf>
    <xf numFmtId="4" fontId="7" fillId="33" borderId="0" xfId="0" applyNumberFormat="1" applyFont="1" applyFill="1" applyBorder="1" applyAlignment="1" applyProtection="1">
      <alignment horizontal="center" vertical="center"/>
      <protection/>
    </xf>
    <xf numFmtId="4" fontId="7" fillId="33" borderId="0" xfId="0" applyNumberFormat="1" applyFont="1" applyFill="1" applyBorder="1" applyAlignment="1">
      <alignment/>
    </xf>
    <xf numFmtId="4" fontId="8" fillId="33" borderId="11" xfId="47" applyNumberFormat="1" applyFont="1" applyFill="1" applyBorder="1" applyAlignment="1" applyProtection="1">
      <alignment/>
      <protection/>
    </xf>
    <xf numFmtId="4" fontId="8" fillId="33" borderId="11" xfId="47" applyNumberFormat="1" applyFont="1" applyFill="1" applyBorder="1" applyAlignment="1" applyProtection="1">
      <alignment horizontal="center"/>
      <protection/>
    </xf>
    <xf numFmtId="4" fontId="8" fillId="33" borderId="11" xfId="0" applyNumberFormat="1" applyFont="1" applyFill="1" applyBorder="1" applyAlignment="1" applyProtection="1">
      <alignment horizontal="center"/>
      <protection/>
    </xf>
    <xf numFmtId="4" fontId="8" fillId="33" borderId="11" xfId="0" applyNumberFormat="1" applyFont="1" applyFill="1" applyBorder="1" applyAlignment="1">
      <alignment horizontal="center"/>
    </xf>
    <xf numFmtId="4" fontId="8" fillId="33" borderId="15" xfId="0" applyNumberFormat="1" applyFont="1" applyFill="1" applyBorder="1" applyAlignment="1" applyProtection="1">
      <alignment horizontal="center"/>
      <protection/>
    </xf>
    <xf numFmtId="4" fontId="8" fillId="33" borderId="22" xfId="0" applyNumberFormat="1" applyFont="1" applyFill="1" applyBorder="1" applyAlignment="1" applyProtection="1">
      <alignment/>
      <protection/>
    </xf>
    <xf numFmtId="4" fontId="8" fillId="33" borderId="23" xfId="0" applyNumberFormat="1" applyFont="1" applyFill="1" applyBorder="1" applyAlignment="1">
      <alignment/>
    </xf>
    <xf numFmtId="4" fontId="52" fillId="34" borderId="24" xfId="0" applyNumberFormat="1" applyFont="1" applyFill="1" applyBorder="1" applyAlignment="1">
      <alignment/>
    </xf>
    <xf numFmtId="4" fontId="8" fillId="33" borderId="0" xfId="0" applyNumberFormat="1" applyFont="1" applyFill="1" applyAlignment="1" applyProtection="1">
      <alignment/>
      <protection/>
    </xf>
    <xf numFmtId="4" fontId="8" fillId="33" borderId="0" xfId="0" applyNumberFormat="1" applyFont="1" applyFill="1" applyAlignment="1">
      <alignment/>
    </xf>
    <xf numFmtId="4" fontId="6" fillId="33" borderId="0" xfId="0" applyNumberFormat="1" applyFont="1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4" fontId="7" fillId="33" borderId="0" xfId="0" applyNumberFormat="1" applyFont="1" applyFill="1" applyBorder="1" applyAlignment="1">
      <alignment horizontal="center"/>
    </xf>
    <xf numFmtId="4" fontId="9" fillId="33" borderId="11" xfId="47" applyNumberFormat="1" applyFont="1" applyFill="1" applyBorder="1" applyAlignment="1">
      <alignment horizontal="center"/>
    </xf>
    <xf numFmtId="4" fontId="8" fillId="33" borderId="15" xfId="47" applyNumberFormat="1" applyFont="1" applyFill="1" applyBorder="1" applyAlignment="1" applyProtection="1">
      <alignment horizontal="center"/>
      <protection/>
    </xf>
    <xf numFmtId="4" fontId="8" fillId="33" borderId="22" xfId="47" applyNumberFormat="1" applyFont="1" applyFill="1" applyBorder="1" applyAlignment="1" applyProtection="1">
      <alignment horizontal="center"/>
      <protection/>
    </xf>
    <xf numFmtId="4" fontId="9" fillId="33" borderId="23" xfId="0" applyNumberFormat="1" applyFont="1" applyFill="1" applyBorder="1" applyAlignment="1" applyProtection="1">
      <alignment horizontal="center"/>
      <protection/>
    </xf>
    <xf numFmtId="4" fontId="8" fillId="33" borderId="23" xfId="0" applyNumberFormat="1" applyFont="1" applyFill="1" applyBorder="1" applyAlignment="1" applyProtection="1">
      <alignment horizontal="center"/>
      <protection/>
    </xf>
    <xf numFmtId="4" fontId="52" fillId="34" borderId="24" xfId="0" applyNumberFormat="1" applyFont="1" applyFill="1" applyBorder="1" applyAlignment="1" applyProtection="1">
      <alignment horizontal="center"/>
      <protection/>
    </xf>
    <xf numFmtId="4" fontId="8" fillId="33" borderId="0" xfId="0" applyNumberFormat="1" applyFont="1" applyFill="1" applyAlignment="1">
      <alignment horizontal="center"/>
    </xf>
    <xf numFmtId="4" fontId="6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 horizontal="center"/>
      <protection/>
    </xf>
    <xf numFmtId="4" fontId="2" fillId="0" borderId="0" xfId="0" applyNumberFormat="1" applyFont="1" applyAlignment="1" applyProtection="1">
      <alignment horizontal="center"/>
      <protection/>
    </xf>
    <xf numFmtId="4" fontId="2" fillId="0" borderId="0" xfId="0" applyNumberFormat="1" applyFont="1" applyAlignment="1">
      <alignment horizontal="center"/>
    </xf>
    <xf numFmtId="4" fontId="8" fillId="33" borderId="22" xfId="0" applyNumberFormat="1" applyFont="1" applyFill="1" applyBorder="1" applyAlignment="1" applyProtection="1">
      <alignment horizontal="center"/>
      <protection/>
    </xf>
    <xf numFmtId="4" fontId="8" fillId="33" borderId="0" xfId="0" applyNumberFormat="1" applyFont="1" applyFill="1" applyAlignment="1" applyProtection="1">
      <alignment horizontal="center"/>
      <protection/>
    </xf>
    <xf numFmtId="4" fontId="3" fillId="33" borderId="0" xfId="47" applyNumberFormat="1" applyFont="1" applyFill="1" applyAlignment="1">
      <alignment horizontal="center"/>
    </xf>
    <xf numFmtId="4" fontId="3" fillId="33" borderId="0" xfId="47" applyNumberFormat="1" applyFont="1" applyFill="1" applyBorder="1" applyAlignment="1">
      <alignment horizontal="center"/>
    </xf>
    <xf numFmtId="4" fontId="7" fillId="33" borderId="0" xfId="47" applyNumberFormat="1" applyFont="1" applyFill="1" applyBorder="1" applyAlignment="1">
      <alignment horizontal="center"/>
    </xf>
    <xf numFmtId="4" fontId="9" fillId="33" borderId="15" xfId="47" applyNumberFormat="1" applyFont="1" applyFill="1" applyBorder="1" applyAlignment="1">
      <alignment horizontal="center"/>
    </xf>
    <xf numFmtId="4" fontId="9" fillId="33" borderId="22" xfId="47" applyNumberFormat="1" applyFont="1" applyFill="1" applyBorder="1" applyAlignment="1">
      <alignment horizontal="center"/>
    </xf>
    <xf numFmtId="4" fontId="9" fillId="33" borderId="23" xfId="47" applyNumberFormat="1" applyFont="1" applyFill="1" applyBorder="1" applyAlignment="1" applyProtection="1">
      <alignment horizontal="center"/>
      <protection/>
    </xf>
    <xf numFmtId="4" fontId="52" fillId="34" borderId="24" xfId="47" applyNumberFormat="1" applyFont="1" applyFill="1" applyBorder="1" applyAlignment="1" applyProtection="1">
      <alignment horizontal="center"/>
      <protection/>
    </xf>
    <xf numFmtId="4" fontId="7" fillId="33" borderId="0" xfId="47" applyNumberFormat="1" applyFont="1" applyFill="1" applyAlignment="1" applyProtection="1">
      <alignment horizontal="center"/>
      <protection/>
    </xf>
    <xf numFmtId="4" fontId="3" fillId="33" borderId="0" xfId="47" applyNumberFormat="1" applyFont="1" applyFill="1" applyAlignment="1" applyProtection="1">
      <alignment horizontal="center"/>
      <protection/>
    </xf>
    <xf numFmtId="4" fontId="3" fillId="0" borderId="0" xfId="47" applyNumberFormat="1" applyFont="1" applyAlignment="1" applyProtection="1">
      <alignment horizontal="center"/>
      <protection/>
    </xf>
    <xf numFmtId="4" fontId="3" fillId="0" borderId="0" xfId="47" applyNumberFormat="1" applyFont="1" applyAlignment="1">
      <alignment horizontal="center"/>
    </xf>
    <xf numFmtId="4" fontId="9" fillId="33" borderId="12" xfId="0" applyNumberFormat="1" applyFont="1" applyFill="1" applyBorder="1" applyAlignment="1" applyProtection="1">
      <alignment horizontal="center"/>
      <protection/>
    </xf>
    <xf numFmtId="4" fontId="8" fillId="33" borderId="12" xfId="0" applyNumberFormat="1" applyFont="1" applyFill="1" applyBorder="1" applyAlignment="1" applyProtection="1">
      <alignment horizontal="center"/>
      <protection/>
    </xf>
    <xf numFmtId="4" fontId="52" fillId="34" borderId="20" xfId="0" applyNumberFormat="1" applyFont="1" applyFill="1" applyBorder="1" applyAlignment="1" applyProtection="1">
      <alignment horizontal="center"/>
      <protection/>
    </xf>
    <xf numFmtId="4" fontId="53" fillId="33" borderId="0" xfId="0" applyNumberFormat="1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>
      <alignment horizontal="center" vertical="center"/>
    </xf>
    <xf numFmtId="0" fontId="8" fillId="33" borderId="0" xfId="0" applyFont="1" applyFill="1" applyAlignment="1" applyProtection="1">
      <alignment horizontal="left" wrapText="1"/>
      <protection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/>
    </xf>
    <xf numFmtId="0" fontId="5" fillId="35" borderId="0" xfId="0" applyFont="1" applyFill="1" applyBorder="1" applyAlignment="1" applyProtection="1">
      <alignment horizontal="center" vertical="center"/>
      <protection/>
    </xf>
    <xf numFmtId="4" fontId="5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25" xfId="0" applyFont="1" applyFill="1" applyBorder="1" applyAlignment="1">
      <alignment/>
    </xf>
    <xf numFmtId="0" fontId="54" fillId="35" borderId="26" xfId="0" applyFont="1" applyFill="1" applyBorder="1" applyAlignment="1">
      <alignment/>
    </xf>
    <xf numFmtId="4" fontId="54" fillId="35" borderId="26" xfId="0" applyNumberFormat="1" applyFont="1" applyFill="1" applyBorder="1" applyAlignment="1" applyProtection="1">
      <alignment horizontal="center"/>
      <protection/>
    </xf>
    <xf numFmtId="4" fontId="54" fillId="35" borderId="26" xfId="47" applyNumberFormat="1" applyFont="1" applyFill="1" applyBorder="1" applyAlignment="1" applyProtection="1">
      <alignment horizontal="center" vertical="justify"/>
      <protection/>
    </xf>
    <xf numFmtId="0" fontId="53" fillId="35" borderId="27" xfId="0" applyFont="1" applyFill="1" applyBorder="1" applyAlignment="1">
      <alignment horizontal="center" vertical="justify"/>
    </xf>
    <xf numFmtId="0" fontId="54" fillId="35" borderId="14" xfId="0" applyFont="1" applyFill="1" applyBorder="1" applyAlignment="1" applyProtection="1">
      <alignment horizontal="left"/>
      <protection/>
    </xf>
    <xf numFmtId="0" fontId="54" fillId="35" borderId="15" xfId="0" applyFont="1" applyFill="1" applyBorder="1" applyAlignment="1" applyProtection="1">
      <alignment horizontal="center"/>
      <protection/>
    </xf>
    <xf numFmtId="4" fontId="54" fillId="35" borderId="15" xfId="0" applyNumberFormat="1" applyFont="1" applyFill="1" applyBorder="1" applyAlignment="1" applyProtection="1">
      <alignment horizontal="center"/>
      <protection/>
    </xf>
    <xf numFmtId="4" fontId="54" fillId="35" borderId="15" xfId="47" applyNumberFormat="1" applyFont="1" applyFill="1" applyBorder="1" applyAlignment="1" applyProtection="1">
      <alignment horizontal="center" vertical="justify"/>
      <protection/>
    </xf>
    <xf numFmtId="0" fontId="53" fillId="35" borderId="28" xfId="0" applyFont="1" applyFill="1" applyBorder="1" applyAlignment="1">
      <alignment horizontal="center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0</xdr:row>
      <xdr:rowOff>76200</xdr:rowOff>
    </xdr:from>
    <xdr:to>
      <xdr:col>5</xdr:col>
      <xdr:colOff>676275</xdr:colOff>
      <xdr:row>1</xdr:row>
      <xdr:rowOff>209550</xdr:rowOff>
    </xdr:to>
    <xdr:pic>
      <xdr:nvPicPr>
        <xdr:cNvPr id="1" name="Imagen 2" descr="Logotipo, nombre de la empresa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76200"/>
          <a:ext cx="1666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29">
      <selection activeCell="A7" sqref="A7:K7"/>
    </sheetView>
  </sheetViews>
  <sheetFormatPr defaultColWidth="11.00390625" defaultRowHeight="12.75"/>
  <cols>
    <col min="1" max="1" width="32.8515625" style="3" customWidth="1"/>
    <col min="2" max="3" width="10.00390625" style="3" customWidth="1"/>
    <col min="4" max="4" width="10.421875" style="65" customWidth="1"/>
    <col min="5" max="5" width="10.7109375" style="79" customWidth="1"/>
    <col min="6" max="7" width="10.57421875" style="79" customWidth="1"/>
    <col min="8" max="8" width="11.8515625" style="92" customWidth="1"/>
    <col min="9" max="9" width="11.140625" style="79" customWidth="1"/>
    <col min="10" max="10" width="11.57421875" style="79" customWidth="1"/>
    <col min="11" max="11" width="13.7109375" style="3" customWidth="1"/>
    <col min="12" max="12" width="12.57421875" style="7" customWidth="1"/>
    <col min="13" max="13" width="11.00390625" style="7" customWidth="1"/>
    <col min="14" max="16384" width="11.00390625" style="3" customWidth="1"/>
  </cols>
  <sheetData>
    <row r="1" spans="1:11" ht="18" customHeight="1">
      <c r="A1" s="7"/>
      <c r="B1" s="7"/>
      <c r="C1" s="7"/>
      <c r="D1" s="48"/>
      <c r="E1" s="66"/>
      <c r="F1" s="66"/>
      <c r="G1" s="66"/>
      <c r="H1" s="82"/>
      <c r="I1" s="66"/>
      <c r="J1" s="66"/>
      <c r="K1" s="7"/>
    </row>
    <row r="2" spans="1:11" ht="17.25" customHeight="1">
      <c r="A2" s="7"/>
      <c r="B2" s="7"/>
      <c r="C2" s="7"/>
      <c r="D2" s="48"/>
      <c r="E2" s="66"/>
      <c r="F2" s="66"/>
      <c r="G2" s="66"/>
      <c r="H2" s="82"/>
      <c r="I2" s="66"/>
      <c r="J2" s="66"/>
      <c r="K2" s="7"/>
    </row>
    <row r="3" spans="1:11" ht="14.25" customHeight="1">
      <c r="A3" s="101" t="s">
        <v>51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6.75" customHeight="1">
      <c r="A4" s="101" t="s">
        <v>52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6.7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ht="6" customHeight="1">
      <c r="A6" s="6"/>
      <c r="B6" s="6"/>
      <c r="C6" s="6"/>
      <c r="D6" s="49"/>
      <c r="E6" s="67"/>
      <c r="F6" s="67"/>
      <c r="G6" s="67"/>
      <c r="H6" s="83"/>
      <c r="I6" s="67"/>
      <c r="J6" s="67"/>
      <c r="K6" s="6"/>
    </row>
    <row r="7" spans="1:13" s="1" customFormat="1" ht="14.25" customHeight="1">
      <c r="A7" s="98" t="s">
        <v>54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8"/>
      <c r="M7" s="8"/>
    </row>
    <row r="8" spans="1:13" s="1" customFormat="1" ht="4.5" customHeight="1">
      <c r="A8" s="43"/>
      <c r="B8" s="43"/>
      <c r="C8" s="43"/>
      <c r="D8" s="50"/>
      <c r="E8" s="50"/>
      <c r="F8" s="50"/>
      <c r="G8" s="50"/>
      <c r="H8" s="50"/>
      <c r="I8" s="50"/>
      <c r="J8" s="50"/>
      <c r="K8" s="43"/>
      <c r="L8" s="8"/>
      <c r="M8" s="8"/>
    </row>
    <row r="9" spans="1:13" s="1" customFormat="1" ht="3.75" customHeight="1">
      <c r="A9" s="105"/>
      <c r="B9" s="105"/>
      <c r="C9" s="105"/>
      <c r="D9" s="106"/>
      <c r="E9" s="106"/>
      <c r="F9" s="106"/>
      <c r="G9" s="106"/>
      <c r="H9" s="106"/>
      <c r="I9" s="106"/>
      <c r="J9" s="106"/>
      <c r="K9" s="105"/>
      <c r="L9" s="8"/>
      <c r="M9" s="8"/>
    </row>
    <row r="10" spans="1:13" s="2" customFormat="1" ht="9" customHeight="1" thickBot="1">
      <c r="A10" s="15"/>
      <c r="B10" s="16"/>
      <c r="C10" s="16"/>
      <c r="D10" s="51"/>
      <c r="E10" s="68"/>
      <c r="F10" s="68"/>
      <c r="G10" s="68"/>
      <c r="H10" s="84"/>
      <c r="I10" s="68"/>
      <c r="J10" s="68"/>
      <c r="K10" s="15"/>
      <c r="L10" s="6"/>
      <c r="M10" s="6"/>
    </row>
    <row r="11" spans="1:11" ht="19.5" customHeight="1">
      <c r="A11" s="107"/>
      <c r="B11" s="108"/>
      <c r="C11" s="108"/>
      <c r="D11" s="109" t="s">
        <v>0</v>
      </c>
      <c r="E11" s="109" t="s">
        <v>1</v>
      </c>
      <c r="F11" s="109" t="s">
        <v>2</v>
      </c>
      <c r="G11" s="109" t="s">
        <v>3</v>
      </c>
      <c r="H11" s="110" t="s">
        <v>43</v>
      </c>
      <c r="I11" s="109" t="s">
        <v>4</v>
      </c>
      <c r="J11" s="109" t="s">
        <v>5</v>
      </c>
      <c r="K11" s="111" t="s">
        <v>42</v>
      </c>
    </row>
    <row r="12" spans="1:12" ht="22.5" customHeight="1" thickBot="1">
      <c r="A12" s="112" t="s">
        <v>6</v>
      </c>
      <c r="B12" s="113" t="s">
        <v>7</v>
      </c>
      <c r="C12" s="113" t="s">
        <v>8</v>
      </c>
      <c r="D12" s="114" t="s">
        <v>9</v>
      </c>
      <c r="E12" s="114" t="s">
        <v>5</v>
      </c>
      <c r="F12" s="114" t="s">
        <v>5</v>
      </c>
      <c r="G12" s="114" t="s">
        <v>5</v>
      </c>
      <c r="H12" s="115"/>
      <c r="I12" s="114" t="s">
        <v>5</v>
      </c>
      <c r="J12" s="114" t="s">
        <v>10</v>
      </c>
      <c r="K12" s="116"/>
      <c r="L12" s="9"/>
    </row>
    <row r="13" spans="1:12" ht="21.75" customHeight="1">
      <c r="A13" s="17" t="s">
        <v>11</v>
      </c>
      <c r="B13" s="44"/>
      <c r="C13" s="18"/>
      <c r="D13" s="52"/>
      <c r="E13" s="69">
        <f aca="true" t="shared" si="0" ref="E13:K13">SUM(E14:E21)</f>
        <v>1695.5566960456686</v>
      </c>
      <c r="F13" s="69">
        <f t="shared" si="0"/>
        <v>115.93893430203178</v>
      </c>
      <c r="G13" s="69">
        <f t="shared" si="0"/>
        <v>26.86485532138678</v>
      </c>
      <c r="H13" s="69">
        <f t="shared" si="0"/>
        <v>1838.3604856690872</v>
      </c>
      <c r="I13" s="69">
        <f t="shared" si="0"/>
        <v>289.71807514615665</v>
      </c>
      <c r="J13" s="69">
        <f t="shared" si="0"/>
        <v>2128.078560815244</v>
      </c>
      <c r="K13" s="23">
        <f t="shared" si="0"/>
        <v>0.21332371286876128</v>
      </c>
      <c r="L13" s="9"/>
    </row>
    <row r="14" spans="1:13" ht="12" customHeight="1">
      <c r="A14" s="19" t="s">
        <v>12</v>
      </c>
      <c r="B14" s="46">
        <f>1782.87/52.92</f>
        <v>33.689909297052154</v>
      </c>
      <c r="C14" s="20" t="s">
        <v>13</v>
      </c>
      <c r="D14" s="53">
        <v>50</v>
      </c>
      <c r="E14" s="54">
        <f>(D14*B14)</f>
        <v>1684.4954648526077</v>
      </c>
      <c r="F14" s="55"/>
      <c r="G14" s="55"/>
      <c r="H14" s="69">
        <f>SUM(E14:G14)</f>
        <v>1684.4954648526077</v>
      </c>
      <c r="I14" s="55"/>
      <c r="J14" s="54">
        <f>(D14*B14)</f>
        <v>1684.4954648526077</v>
      </c>
      <c r="K14" s="21">
        <f>J14/J$43</f>
        <v>0.16885787653219342</v>
      </c>
      <c r="L14" s="9"/>
      <c r="M14" s="9"/>
    </row>
    <row r="15" spans="1:13" ht="12" customHeight="1">
      <c r="A15" s="19" t="s">
        <v>14</v>
      </c>
      <c r="B15" s="46">
        <v>2</v>
      </c>
      <c r="C15" s="20" t="s">
        <v>13</v>
      </c>
      <c r="D15" s="53">
        <v>50</v>
      </c>
      <c r="E15" s="54"/>
      <c r="F15" s="54">
        <f>(D15*B15)</f>
        <v>100</v>
      </c>
      <c r="G15" s="55"/>
      <c r="H15" s="69">
        <f aca="true" t="shared" si="1" ref="H15:H38">SUM(E15:G15)</f>
        <v>100</v>
      </c>
      <c r="I15" s="55"/>
      <c r="J15" s="54">
        <f>(D15*B15)</f>
        <v>100</v>
      </c>
      <c r="K15" s="21">
        <f>J15/J$43</f>
        <v>0.01002424049547491</v>
      </c>
      <c r="L15" s="9"/>
      <c r="M15" s="9"/>
    </row>
    <row r="16" spans="1:13" ht="12" customHeight="1">
      <c r="A16" s="19" t="s">
        <v>15</v>
      </c>
      <c r="B16" s="45"/>
      <c r="C16" s="44"/>
      <c r="D16" s="53"/>
      <c r="E16" s="55"/>
      <c r="F16" s="55"/>
      <c r="G16" s="55"/>
      <c r="H16" s="69"/>
      <c r="I16" s="55"/>
      <c r="J16" s="55"/>
      <c r="K16" s="21"/>
      <c r="L16" s="9"/>
      <c r="M16" s="9"/>
    </row>
    <row r="17" spans="1:12" ht="12" customHeight="1">
      <c r="A17" s="19" t="s">
        <v>16</v>
      </c>
      <c r="B17" s="46">
        <f>5.05/45.55</f>
        <v>0.11086717892425905</v>
      </c>
      <c r="C17" s="20" t="s">
        <v>17</v>
      </c>
      <c r="D17" s="53">
        <v>2416.16</v>
      </c>
      <c r="E17" s="54">
        <f>(J17*0.025)</f>
        <v>6.696821075740944</v>
      </c>
      <c r="F17" s="54">
        <f>(J17*0.043)</f>
        <v>11.518532250274422</v>
      </c>
      <c r="G17" s="54">
        <f>(J17*0.074)</f>
        <v>19.82259038419319</v>
      </c>
      <c r="H17" s="69">
        <f t="shared" si="1"/>
        <v>38.03794371020856</v>
      </c>
      <c r="I17" s="54">
        <f>(J17*0.858)</f>
        <v>229.83489931942918</v>
      </c>
      <c r="J17" s="54">
        <f>(D17*B17)</f>
        <v>267.87284302963775</v>
      </c>
      <c r="K17" s="21">
        <f>J17/J$43</f>
        <v>0.026852218007356887</v>
      </c>
      <c r="L17" s="9"/>
    </row>
    <row r="18" spans="1:12" ht="12" customHeight="1">
      <c r="A18" s="19" t="s">
        <v>18</v>
      </c>
      <c r="B18" s="45"/>
      <c r="C18" s="44"/>
      <c r="D18" s="53"/>
      <c r="E18" s="54"/>
      <c r="F18" s="54"/>
      <c r="G18" s="54"/>
      <c r="H18" s="69"/>
      <c r="I18" s="54"/>
      <c r="J18" s="54"/>
      <c r="K18" s="21"/>
      <c r="L18" s="9"/>
    </row>
    <row r="19" spans="1:12" ht="12" customHeight="1">
      <c r="A19" s="19" t="s">
        <v>49</v>
      </c>
      <c r="B19" s="46">
        <f>1.67/49</f>
        <v>0.034081632653061224</v>
      </c>
      <c r="C19" s="20" t="s">
        <v>19</v>
      </c>
      <c r="D19" s="54">
        <v>1400</v>
      </c>
      <c r="E19" s="54">
        <f>(J19*0.068)</f>
        <v>3.2445714285714287</v>
      </c>
      <c r="F19" s="54">
        <f>(J19*0.068)</f>
        <v>3.2445714285714287</v>
      </c>
      <c r="G19" s="54">
        <f>(J19*0.103)</f>
        <v>4.914571428571429</v>
      </c>
      <c r="H19" s="69">
        <f t="shared" si="1"/>
        <v>11.403714285714287</v>
      </c>
      <c r="I19" s="54">
        <f>(J19*0.761)</f>
        <v>36.31057142857143</v>
      </c>
      <c r="J19" s="54">
        <f>(D19*B19)</f>
        <v>47.714285714285715</v>
      </c>
      <c r="K19" s="21">
        <f>J19/J$43</f>
        <v>0.0047829947506980285</v>
      </c>
      <c r="L19" s="9"/>
    </row>
    <row r="20" spans="1:12" ht="12" customHeight="1">
      <c r="A20" s="19" t="s">
        <v>20</v>
      </c>
      <c r="B20" s="45"/>
      <c r="C20" s="44"/>
      <c r="D20" s="55"/>
      <c r="E20" s="54"/>
      <c r="F20" s="54"/>
      <c r="G20" s="54"/>
      <c r="H20" s="69"/>
      <c r="I20" s="54"/>
      <c r="J20" s="54"/>
      <c r="K20" s="21"/>
      <c r="L20" s="9"/>
    </row>
    <row r="21" spans="1:12" ht="12" customHeight="1">
      <c r="A21" s="19" t="s">
        <v>21</v>
      </c>
      <c r="B21" s="46">
        <f>2.86/58.57</f>
        <v>0.04883045927949462</v>
      </c>
      <c r="C21" s="20" t="s">
        <v>19</v>
      </c>
      <c r="D21" s="54">
        <v>573.33</v>
      </c>
      <c r="E21" s="54">
        <f>(J21*0.04)</f>
        <v>1.1198386887485061</v>
      </c>
      <c r="F21" s="54">
        <f>(J21*0.042)</f>
        <v>1.1758306231859315</v>
      </c>
      <c r="G21" s="54">
        <f>(J21*0.076)</f>
        <v>2.1276935086221616</v>
      </c>
      <c r="H21" s="69">
        <f t="shared" si="1"/>
        <v>4.4233628205566</v>
      </c>
      <c r="I21" s="54">
        <f>(J21*0.842)</f>
        <v>23.572604398156052</v>
      </c>
      <c r="J21" s="54">
        <f>(D21*B21)</f>
        <v>27.995967218712654</v>
      </c>
      <c r="K21" s="21">
        <f>J21/J$43</f>
        <v>0.0028063830830380746</v>
      </c>
      <c r="L21" s="9"/>
    </row>
    <row r="22" spans="1:12" ht="6.75" customHeight="1">
      <c r="A22" s="19"/>
      <c r="B22" s="46"/>
      <c r="C22" s="20"/>
      <c r="D22" s="54"/>
      <c r="E22" s="54"/>
      <c r="F22" s="54"/>
      <c r="G22" s="54"/>
      <c r="H22" s="69"/>
      <c r="I22" s="54"/>
      <c r="J22" s="54"/>
      <c r="K22" s="21"/>
      <c r="L22" s="9"/>
    </row>
    <row r="23" spans="1:12" ht="12" customHeight="1">
      <c r="A23" s="17" t="s">
        <v>22</v>
      </c>
      <c r="B23" s="44"/>
      <c r="C23" s="44"/>
      <c r="D23" s="55"/>
      <c r="E23" s="69">
        <f aca="true" t="shared" si="2" ref="E23:K23">SUM(E24:E26)</f>
        <v>1000</v>
      </c>
      <c r="F23" s="69">
        <f t="shared" si="2"/>
        <v>0</v>
      </c>
      <c r="G23" s="69">
        <f t="shared" si="2"/>
        <v>0</v>
      </c>
      <c r="H23" s="69">
        <f t="shared" si="2"/>
        <v>1000</v>
      </c>
      <c r="I23" s="69">
        <f t="shared" si="2"/>
        <v>0</v>
      </c>
      <c r="J23" s="69">
        <f t="shared" si="2"/>
        <v>1000</v>
      </c>
      <c r="K23" s="23">
        <f t="shared" si="2"/>
        <v>0.10024240495474909</v>
      </c>
      <c r="L23" s="9"/>
    </row>
    <row r="24" spans="1:12" ht="12" customHeight="1">
      <c r="A24" s="19" t="s">
        <v>23</v>
      </c>
      <c r="B24" s="46">
        <v>1</v>
      </c>
      <c r="C24" s="20" t="s">
        <v>24</v>
      </c>
      <c r="D24" s="54">
        <v>400</v>
      </c>
      <c r="E24" s="54">
        <f>D24*B24</f>
        <v>400</v>
      </c>
      <c r="F24" s="54"/>
      <c r="G24" s="54"/>
      <c r="H24" s="69">
        <f t="shared" si="1"/>
        <v>400</v>
      </c>
      <c r="I24" s="54"/>
      <c r="J24" s="54">
        <f>(D24*B24)</f>
        <v>400</v>
      </c>
      <c r="K24" s="21">
        <f>J24/J$43</f>
        <v>0.04009696198189964</v>
      </c>
      <c r="L24" s="9"/>
    </row>
    <row r="25" spans="1:12" ht="12" customHeight="1">
      <c r="A25" s="19" t="s">
        <v>25</v>
      </c>
      <c r="B25" s="46">
        <v>1</v>
      </c>
      <c r="C25" s="20" t="s">
        <v>24</v>
      </c>
      <c r="D25" s="54">
        <v>300</v>
      </c>
      <c r="E25" s="54">
        <f>D25*B25</f>
        <v>300</v>
      </c>
      <c r="F25" s="54"/>
      <c r="G25" s="54"/>
      <c r="H25" s="69">
        <f t="shared" si="1"/>
        <v>300</v>
      </c>
      <c r="I25" s="54"/>
      <c r="J25" s="54">
        <f>(D25*B25)</f>
        <v>300</v>
      </c>
      <c r="K25" s="21">
        <f>J25/J$43</f>
        <v>0.03007272148642473</v>
      </c>
      <c r="L25" s="9"/>
    </row>
    <row r="26" spans="1:12" ht="12" customHeight="1">
      <c r="A26" s="19" t="s">
        <v>26</v>
      </c>
      <c r="B26" s="46">
        <v>1</v>
      </c>
      <c r="C26" s="20" t="s">
        <v>24</v>
      </c>
      <c r="D26" s="54">
        <v>300</v>
      </c>
      <c r="E26" s="54">
        <f>D26*B26</f>
        <v>300</v>
      </c>
      <c r="F26" s="54"/>
      <c r="G26" s="54"/>
      <c r="H26" s="69">
        <f t="shared" si="1"/>
        <v>300</v>
      </c>
      <c r="I26" s="54"/>
      <c r="J26" s="54">
        <f>(D26*B26)</f>
        <v>300</v>
      </c>
      <c r="K26" s="21">
        <f>J26/J$43</f>
        <v>0.03007272148642473</v>
      </c>
      <c r="L26" s="9"/>
    </row>
    <row r="27" spans="1:12" ht="6" customHeight="1">
      <c r="A27" s="22"/>
      <c r="B27" s="44"/>
      <c r="C27" s="44"/>
      <c r="D27" s="55"/>
      <c r="E27" s="54"/>
      <c r="F27" s="54"/>
      <c r="G27" s="54"/>
      <c r="H27" s="69"/>
      <c r="I27" s="54"/>
      <c r="J27" s="54"/>
      <c r="K27" s="21"/>
      <c r="L27" s="9"/>
    </row>
    <row r="28" spans="1:12" ht="13.5" customHeight="1">
      <c r="A28" s="17" t="s">
        <v>27</v>
      </c>
      <c r="B28" s="44"/>
      <c r="C28" s="44"/>
      <c r="D28" s="55"/>
      <c r="E28" s="69">
        <f aca="true" t="shared" si="3" ref="E28:K28">SUM(E29:E38)</f>
        <v>707.6134</v>
      </c>
      <c r="F28" s="69">
        <f t="shared" si="3"/>
        <v>310.4049</v>
      </c>
      <c r="G28" s="69">
        <f t="shared" si="3"/>
        <v>561.3452</v>
      </c>
      <c r="H28" s="69">
        <f t="shared" si="3"/>
        <v>1579.3635</v>
      </c>
      <c r="I28" s="69">
        <f t="shared" si="3"/>
        <v>4348.3115</v>
      </c>
      <c r="J28" s="69">
        <f t="shared" si="3"/>
        <v>5927.675</v>
      </c>
      <c r="K28" s="23">
        <f t="shared" si="3"/>
        <v>0.5942043977901423</v>
      </c>
      <c r="L28" s="9"/>
    </row>
    <row r="29" spans="1:12" ht="12" customHeight="1">
      <c r="A29" s="19" t="s">
        <v>28</v>
      </c>
      <c r="B29" s="46">
        <v>0.124</v>
      </c>
      <c r="C29" s="20" t="s">
        <v>29</v>
      </c>
      <c r="D29" s="54">
        <v>650</v>
      </c>
      <c r="E29" s="54">
        <f>(D29*B29)</f>
        <v>80.6</v>
      </c>
      <c r="F29" s="54"/>
      <c r="G29" s="54"/>
      <c r="H29" s="69">
        <f t="shared" si="1"/>
        <v>80.6</v>
      </c>
      <c r="I29" s="54"/>
      <c r="J29" s="54">
        <f aca="true" t="shared" si="4" ref="J29:J38">(D29*B29)</f>
        <v>80.6</v>
      </c>
      <c r="K29" s="21">
        <f aca="true" t="shared" si="5" ref="K29:K38">J29/J$43</f>
        <v>0.008079537839352776</v>
      </c>
      <c r="L29" s="9"/>
    </row>
    <row r="30" spans="1:12" ht="12" customHeight="1">
      <c r="A30" s="19" t="s">
        <v>30</v>
      </c>
      <c r="B30" s="46">
        <v>0.376</v>
      </c>
      <c r="C30" s="20" t="s">
        <v>29</v>
      </c>
      <c r="D30" s="54">
        <f>+D29</f>
        <v>650</v>
      </c>
      <c r="E30" s="54">
        <f>(J30*0.15)</f>
        <v>36.66</v>
      </c>
      <c r="F30" s="54"/>
      <c r="G30" s="54">
        <f>(J30*0.85)</f>
        <v>207.74</v>
      </c>
      <c r="H30" s="69">
        <f t="shared" si="1"/>
        <v>244.4</v>
      </c>
      <c r="I30" s="54"/>
      <c r="J30" s="54">
        <f t="shared" si="4"/>
        <v>244.4</v>
      </c>
      <c r="K30" s="21">
        <f t="shared" si="5"/>
        <v>0.02449924377094068</v>
      </c>
      <c r="L30" s="9"/>
    </row>
    <row r="31" spans="1:11" ht="12" customHeight="1">
      <c r="A31" s="19" t="s">
        <v>31</v>
      </c>
      <c r="B31" s="46">
        <v>0.626</v>
      </c>
      <c r="C31" s="20" t="s">
        <v>29</v>
      </c>
      <c r="D31" s="54">
        <f aca="true" t="shared" si="6" ref="D31:D38">+D30</f>
        <v>650</v>
      </c>
      <c r="E31" s="54">
        <f>(D31*B31)</f>
        <v>406.9</v>
      </c>
      <c r="F31" s="54"/>
      <c r="G31" s="54"/>
      <c r="H31" s="69">
        <f t="shared" si="1"/>
        <v>406.9</v>
      </c>
      <c r="I31" s="54"/>
      <c r="J31" s="54">
        <f t="shared" si="4"/>
        <v>406.9</v>
      </c>
      <c r="K31" s="21">
        <f t="shared" si="5"/>
        <v>0.040788634576087404</v>
      </c>
    </row>
    <row r="32" spans="1:12" ht="12" customHeight="1">
      <c r="A32" s="19" t="s">
        <v>32</v>
      </c>
      <c r="B32" s="46">
        <v>0.094</v>
      </c>
      <c r="C32" s="20" t="s">
        <v>29</v>
      </c>
      <c r="D32" s="54">
        <f t="shared" si="6"/>
        <v>650</v>
      </c>
      <c r="E32" s="53">
        <v>0</v>
      </c>
      <c r="F32" s="54">
        <f>(D32*B32)</f>
        <v>61.1</v>
      </c>
      <c r="G32" s="54"/>
      <c r="H32" s="69">
        <f t="shared" si="1"/>
        <v>61.1</v>
      </c>
      <c r="I32" s="54"/>
      <c r="J32" s="54">
        <f t="shared" si="4"/>
        <v>61.1</v>
      </c>
      <c r="K32" s="21">
        <f t="shared" si="5"/>
        <v>0.00612481094273517</v>
      </c>
      <c r="L32" s="10"/>
    </row>
    <row r="33" spans="1:11" ht="12" customHeight="1">
      <c r="A33" s="19" t="s">
        <v>33</v>
      </c>
      <c r="B33" s="46">
        <v>1.988</v>
      </c>
      <c r="C33" s="20" t="s">
        <v>29</v>
      </c>
      <c r="D33" s="54">
        <f t="shared" si="6"/>
        <v>650</v>
      </c>
      <c r="E33" s="54">
        <f>(J33*0.025)</f>
        <v>32.305</v>
      </c>
      <c r="F33" s="54">
        <f>(J33*0.042)</f>
        <v>54.272400000000005</v>
      </c>
      <c r="G33" s="54">
        <f>(J33*0.073)</f>
        <v>94.3306</v>
      </c>
      <c r="H33" s="69">
        <f t="shared" si="1"/>
        <v>180.90800000000002</v>
      </c>
      <c r="I33" s="54">
        <f>(J33*0.86)</f>
        <v>1111.292</v>
      </c>
      <c r="J33" s="54">
        <f t="shared" si="4"/>
        <v>1292.2</v>
      </c>
      <c r="K33" s="21">
        <f t="shared" si="5"/>
        <v>0.12953323568252678</v>
      </c>
    </row>
    <row r="34" spans="1:11" ht="12" customHeight="1">
      <c r="A34" s="19" t="s">
        <v>34</v>
      </c>
      <c r="B34" s="46">
        <v>0.475</v>
      </c>
      <c r="C34" s="20" t="s">
        <v>29</v>
      </c>
      <c r="D34" s="54">
        <f t="shared" si="6"/>
        <v>650</v>
      </c>
      <c r="E34" s="54">
        <f>(J34*0.05)</f>
        <v>15.4375</v>
      </c>
      <c r="F34" s="54">
        <f>(J34*0.05)</f>
        <v>15.4375</v>
      </c>
      <c r="G34" s="54">
        <f>(J34*0.09)</f>
        <v>27.787499999999998</v>
      </c>
      <c r="H34" s="69">
        <f t="shared" si="1"/>
        <v>58.662499999999994</v>
      </c>
      <c r="I34" s="54">
        <f>(J34*0.81)</f>
        <v>250.0875</v>
      </c>
      <c r="J34" s="54">
        <f t="shared" si="4"/>
        <v>308.75</v>
      </c>
      <c r="K34" s="21">
        <f t="shared" si="5"/>
        <v>0.030949842529778785</v>
      </c>
    </row>
    <row r="35" spans="1:11" ht="12" customHeight="1">
      <c r="A35" s="19" t="s">
        <v>35</v>
      </c>
      <c r="B35" s="46">
        <f>0.3494+0.3932</f>
        <v>0.7425999999999999</v>
      </c>
      <c r="C35" s="20" t="s">
        <v>29</v>
      </c>
      <c r="D35" s="54">
        <f t="shared" si="6"/>
        <v>650</v>
      </c>
      <c r="E35" s="54">
        <f>(J35*0.05)</f>
        <v>24.1345</v>
      </c>
      <c r="F35" s="54">
        <f>(J35*0.05)</f>
        <v>24.1345</v>
      </c>
      <c r="G35" s="54">
        <f>(J35*0.06)</f>
        <v>28.961399999999994</v>
      </c>
      <c r="H35" s="69">
        <f t="shared" si="1"/>
        <v>77.23039999999999</v>
      </c>
      <c r="I35" s="54">
        <f>(J35*0.84)</f>
        <v>405.4595999999999</v>
      </c>
      <c r="J35" s="54">
        <f t="shared" si="4"/>
        <v>482.68999999999994</v>
      </c>
      <c r="K35" s="21">
        <f t="shared" si="5"/>
        <v>0.048386006447607835</v>
      </c>
    </row>
    <row r="36" spans="1:11" ht="12" customHeight="1">
      <c r="A36" s="19" t="s">
        <v>36</v>
      </c>
      <c r="B36" s="46">
        <v>1.4077</v>
      </c>
      <c r="C36" s="20" t="s">
        <v>29</v>
      </c>
      <c r="D36" s="54">
        <f t="shared" si="6"/>
        <v>650</v>
      </c>
      <c r="E36" s="54">
        <f>(J36*0.08)</f>
        <v>73.2004</v>
      </c>
      <c r="F36" s="54">
        <f>(J36*0.1)</f>
        <v>91.5005</v>
      </c>
      <c r="G36" s="54">
        <f>(J36*0.1)</f>
        <v>91.5005</v>
      </c>
      <c r="H36" s="69">
        <f t="shared" si="1"/>
        <v>256.2014</v>
      </c>
      <c r="I36" s="54">
        <f>(J36*0.72)</f>
        <v>658.8036</v>
      </c>
      <c r="J36" s="54">
        <f t="shared" si="4"/>
        <v>915.005</v>
      </c>
      <c r="K36" s="21">
        <f t="shared" si="5"/>
        <v>0.0917223017456202</v>
      </c>
    </row>
    <row r="37" spans="1:11" ht="12" customHeight="1">
      <c r="A37" s="19" t="s">
        <v>37</v>
      </c>
      <c r="B37" s="46">
        <v>1.968</v>
      </c>
      <c r="C37" s="20" t="s">
        <v>29</v>
      </c>
      <c r="D37" s="54">
        <f t="shared" si="6"/>
        <v>650</v>
      </c>
      <c r="E37" s="54">
        <f>(J37*0.03)</f>
        <v>38.376</v>
      </c>
      <c r="F37" s="54">
        <f>(J37*0.05)</f>
        <v>63.96000000000001</v>
      </c>
      <c r="G37" s="54">
        <f>(J37*0.06)</f>
        <v>76.752</v>
      </c>
      <c r="H37" s="69">
        <f t="shared" si="1"/>
        <v>179.08800000000002</v>
      </c>
      <c r="I37" s="54">
        <f>(J37*0.86)</f>
        <v>1100.112</v>
      </c>
      <c r="J37" s="54">
        <f t="shared" si="4"/>
        <v>1279.2</v>
      </c>
      <c r="K37" s="21">
        <f t="shared" si="5"/>
        <v>0.12823008441811506</v>
      </c>
    </row>
    <row r="38" spans="1:11" ht="12" customHeight="1" thickBot="1">
      <c r="A38" s="24" t="s">
        <v>38</v>
      </c>
      <c r="B38" s="47">
        <v>1.3182</v>
      </c>
      <c r="C38" s="25" t="s">
        <v>29</v>
      </c>
      <c r="D38" s="56">
        <f t="shared" si="6"/>
        <v>650</v>
      </c>
      <c r="E38" s="70">
        <v>0</v>
      </c>
      <c r="F38" s="56"/>
      <c r="G38" s="56">
        <f>(J38*0.04)</f>
        <v>34.2732</v>
      </c>
      <c r="H38" s="85">
        <f t="shared" si="1"/>
        <v>34.2732</v>
      </c>
      <c r="I38" s="56">
        <f>(J38*0.96)</f>
        <v>822.5568</v>
      </c>
      <c r="J38" s="56">
        <f t="shared" si="4"/>
        <v>856.83</v>
      </c>
      <c r="K38" s="26">
        <f t="shared" si="5"/>
        <v>0.08589069983737767</v>
      </c>
    </row>
    <row r="39" spans="1:11" ht="9" customHeight="1" thickBot="1">
      <c r="A39" s="38"/>
      <c r="B39" s="39"/>
      <c r="C39" s="40"/>
      <c r="D39" s="57"/>
      <c r="E39" s="71"/>
      <c r="F39" s="80"/>
      <c r="G39" s="80"/>
      <c r="H39" s="86"/>
      <c r="I39" s="80"/>
      <c r="J39" s="80"/>
      <c r="K39" s="41"/>
    </row>
    <row r="40" spans="1:12" ht="14.25" customHeight="1">
      <c r="A40" s="27" t="s">
        <v>39</v>
      </c>
      <c r="B40" s="28"/>
      <c r="C40" s="28"/>
      <c r="D40" s="58"/>
      <c r="E40" s="72">
        <f aca="true" t="shared" si="7" ref="E40:K40">E13+E23+E28</f>
        <v>3403.1700960456683</v>
      </c>
      <c r="F40" s="72">
        <f t="shared" si="7"/>
        <v>426.3438343020318</v>
      </c>
      <c r="G40" s="72">
        <f t="shared" si="7"/>
        <v>588.2100553213868</v>
      </c>
      <c r="H40" s="87">
        <f t="shared" si="7"/>
        <v>4417.723985669087</v>
      </c>
      <c r="I40" s="72">
        <f t="shared" si="7"/>
        <v>4638.029575146156</v>
      </c>
      <c r="J40" s="93">
        <f t="shared" si="7"/>
        <v>9055.753560815245</v>
      </c>
      <c r="K40" s="29">
        <f t="shared" si="7"/>
        <v>0.9077705156136527</v>
      </c>
      <c r="L40" s="13"/>
    </row>
    <row r="41" spans="1:12" ht="13.5" customHeight="1">
      <c r="A41" s="30" t="s">
        <v>40</v>
      </c>
      <c r="B41" s="28"/>
      <c r="C41" s="28"/>
      <c r="D41" s="58"/>
      <c r="E41" s="73">
        <f aca="true" t="shared" si="8" ref="E41:J41">(E40*0.02)</f>
        <v>68.06340192091336</v>
      </c>
      <c r="F41" s="73">
        <f t="shared" si="8"/>
        <v>8.526876686040636</v>
      </c>
      <c r="G41" s="73">
        <f t="shared" si="8"/>
        <v>11.764201106427736</v>
      </c>
      <c r="H41" s="87">
        <f t="shared" si="8"/>
        <v>88.35447971338174</v>
      </c>
      <c r="I41" s="73">
        <f t="shared" si="8"/>
        <v>92.76059150292313</v>
      </c>
      <c r="J41" s="94">
        <f t="shared" si="8"/>
        <v>181.1150712163049</v>
      </c>
      <c r="K41" s="31">
        <f>J41/J$43</f>
        <v>0.01815541031227306</v>
      </c>
      <c r="L41" s="14">
        <f>+J41+J42</f>
        <v>920.0645617788289</v>
      </c>
    </row>
    <row r="42" spans="1:13" ht="14.25" customHeight="1">
      <c r="A42" s="30" t="s">
        <v>48</v>
      </c>
      <c r="B42" s="28"/>
      <c r="C42" s="28"/>
      <c r="D42" s="58"/>
      <c r="E42" s="73">
        <f aca="true" t="shared" si="9" ref="E42:J42">SUM(E40:E41)*0.08</f>
        <v>277.69867983732655</v>
      </c>
      <c r="F42" s="73">
        <f t="shared" si="9"/>
        <v>34.78965687904579</v>
      </c>
      <c r="G42" s="73">
        <f t="shared" si="9"/>
        <v>47.997940514225164</v>
      </c>
      <c r="H42" s="87">
        <f t="shared" si="9"/>
        <v>360.48627723059747</v>
      </c>
      <c r="I42" s="73">
        <f t="shared" si="9"/>
        <v>378.4632133319264</v>
      </c>
      <c r="J42" s="94">
        <f t="shared" si="9"/>
        <v>738.949490562524</v>
      </c>
      <c r="K42" s="31">
        <f>J42/J$43</f>
        <v>0.07407407407407408</v>
      </c>
      <c r="L42" s="13"/>
      <c r="M42" s="42"/>
    </row>
    <row r="43" spans="1:13" s="4" customFormat="1" ht="16.5" customHeight="1" thickBot="1">
      <c r="A43" s="35" t="s">
        <v>41</v>
      </c>
      <c r="B43" s="36"/>
      <c r="C43" s="36"/>
      <c r="D43" s="59"/>
      <c r="E43" s="74">
        <f aca="true" t="shared" si="10" ref="E43:K43">SUM(E40:E42)</f>
        <v>3748.932177803908</v>
      </c>
      <c r="F43" s="74">
        <f t="shared" si="10"/>
        <v>469.6603678671182</v>
      </c>
      <c r="G43" s="74">
        <f t="shared" si="10"/>
        <v>647.9721969420398</v>
      </c>
      <c r="H43" s="88">
        <f t="shared" si="10"/>
        <v>4866.564742613066</v>
      </c>
      <c r="I43" s="88">
        <f t="shared" si="10"/>
        <v>5109.253379981006</v>
      </c>
      <c r="J43" s="95">
        <f t="shared" si="10"/>
        <v>9975.818122594073</v>
      </c>
      <c r="K43" s="37">
        <f t="shared" si="10"/>
        <v>0.9999999999999999</v>
      </c>
      <c r="L43" s="11"/>
      <c r="M43" s="11"/>
    </row>
    <row r="44" spans="1:11" ht="18" customHeight="1">
      <c r="A44" s="99" t="s">
        <v>46</v>
      </c>
      <c r="B44" s="100"/>
      <c r="C44" s="100"/>
      <c r="D44" s="100"/>
      <c r="E44" s="100"/>
      <c r="F44" s="100"/>
      <c r="G44" s="100"/>
      <c r="H44" s="100"/>
      <c r="I44" s="100"/>
      <c r="J44" s="100"/>
      <c r="K44" s="32"/>
    </row>
    <row r="45" spans="1:11" ht="14.25" customHeight="1">
      <c r="A45" s="103" t="s">
        <v>50</v>
      </c>
      <c r="B45" s="103"/>
      <c r="C45" s="103"/>
      <c r="D45" s="103"/>
      <c r="E45" s="103"/>
      <c r="F45" s="103"/>
      <c r="G45" s="103"/>
      <c r="H45" s="103"/>
      <c r="I45" s="103"/>
      <c r="J45" s="103"/>
      <c r="K45" s="32"/>
    </row>
    <row r="46" spans="1:11" ht="3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32"/>
    </row>
    <row r="47" spans="1:11" ht="12.75" customHeight="1">
      <c r="A47" s="32" t="s">
        <v>45</v>
      </c>
      <c r="B47" s="32"/>
      <c r="C47" s="33"/>
      <c r="D47" s="60"/>
      <c r="E47" s="75"/>
      <c r="F47" s="75"/>
      <c r="G47" s="81"/>
      <c r="H47" s="81"/>
      <c r="I47" s="81"/>
      <c r="J47" s="96">
        <v>600</v>
      </c>
      <c r="K47" s="32"/>
    </row>
    <row r="48" spans="1:11" ht="12" customHeight="1">
      <c r="A48" s="104" t="s">
        <v>44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</row>
    <row r="49" spans="1:11" ht="15.75" customHeight="1">
      <c r="A49" s="32" t="s">
        <v>53</v>
      </c>
      <c r="B49" s="32"/>
      <c r="C49" s="32"/>
      <c r="D49" s="61"/>
      <c r="E49" s="75"/>
      <c r="F49" s="75"/>
      <c r="G49" s="75"/>
      <c r="H49" s="75"/>
      <c r="I49" s="75"/>
      <c r="J49" s="75"/>
      <c r="K49" s="32"/>
    </row>
    <row r="50" spans="1:11" ht="14.25" customHeight="1">
      <c r="A50" s="32" t="s">
        <v>47</v>
      </c>
      <c r="B50" s="32"/>
      <c r="C50" s="32"/>
      <c r="D50" s="61"/>
      <c r="E50" s="75"/>
      <c r="F50" s="75"/>
      <c r="G50" s="75"/>
      <c r="H50" s="75"/>
      <c r="I50" s="75"/>
      <c r="J50" s="75"/>
      <c r="K50" s="32"/>
    </row>
    <row r="51" spans="1:11" ht="10.5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</row>
    <row r="52" spans="1:11" ht="12.75">
      <c r="A52" s="34"/>
      <c r="B52" s="34"/>
      <c r="C52" s="34"/>
      <c r="D52" s="62"/>
      <c r="E52" s="76"/>
      <c r="F52" s="76"/>
      <c r="G52" s="76"/>
      <c r="H52" s="89"/>
      <c r="I52" s="76"/>
      <c r="J52" s="76"/>
      <c r="K52" s="34"/>
    </row>
    <row r="53" spans="1:11" ht="12.75">
      <c r="A53" s="34"/>
      <c r="B53" s="34"/>
      <c r="C53" s="34"/>
      <c r="D53" s="62"/>
      <c r="E53" s="76"/>
      <c r="F53" s="76"/>
      <c r="G53" s="76"/>
      <c r="H53" s="89"/>
      <c r="I53" s="76"/>
      <c r="J53" s="76"/>
      <c r="K53" s="34"/>
    </row>
    <row r="54" spans="1:11" ht="12.75">
      <c r="A54" s="7"/>
      <c r="B54" s="7"/>
      <c r="C54" s="7"/>
      <c r="D54" s="63"/>
      <c r="E54" s="77"/>
      <c r="F54" s="77"/>
      <c r="G54" s="77"/>
      <c r="H54" s="90"/>
      <c r="I54" s="77"/>
      <c r="J54" s="77"/>
      <c r="K54" s="7"/>
    </row>
    <row r="55" spans="4:10" s="7" customFormat="1" ht="12.75">
      <c r="D55" s="63"/>
      <c r="E55" s="77"/>
      <c r="F55" s="77"/>
      <c r="G55" s="77"/>
      <c r="H55" s="90"/>
      <c r="I55" s="77"/>
      <c r="J55" s="77"/>
    </row>
    <row r="56" spans="4:10" s="7" customFormat="1" ht="12.75">
      <c r="D56" s="63"/>
      <c r="E56" s="77"/>
      <c r="F56" s="77"/>
      <c r="G56" s="77"/>
      <c r="H56" s="90"/>
      <c r="I56" s="77"/>
      <c r="J56" s="77"/>
    </row>
    <row r="57" spans="2:10" s="7" customFormat="1" ht="12.75">
      <c r="B57" s="12"/>
      <c r="D57" s="63"/>
      <c r="E57" s="77"/>
      <c r="F57" s="77"/>
      <c r="G57" s="77"/>
      <c r="H57" s="90"/>
      <c r="I57" s="77"/>
      <c r="J57" s="77"/>
    </row>
    <row r="58" spans="2:10" s="7" customFormat="1" ht="12.75">
      <c r="B58" s="12"/>
      <c r="D58" s="63"/>
      <c r="E58" s="77"/>
      <c r="F58" s="77"/>
      <c r="G58" s="77"/>
      <c r="H58" s="90"/>
      <c r="I58" s="77"/>
      <c r="J58" s="77"/>
    </row>
    <row r="59" spans="2:10" s="7" customFormat="1" ht="12.75">
      <c r="B59" s="12"/>
      <c r="D59" s="63"/>
      <c r="E59" s="77"/>
      <c r="F59" s="77"/>
      <c r="G59" s="77"/>
      <c r="H59" s="90"/>
      <c r="I59" s="77"/>
      <c r="J59" s="77"/>
    </row>
    <row r="60" spans="4:10" s="7" customFormat="1" ht="12.75">
      <c r="D60" s="63"/>
      <c r="E60" s="77"/>
      <c r="F60" s="77"/>
      <c r="G60" s="77"/>
      <c r="H60" s="90"/>
      <c r="I60" s="77"/>
      <c r="J60" s="77"/>
    </row>
    <row r="61" spans="4:10" s="7" customFormat="1" ht="12.75">
      <c r="D61" s="63"/>
      <c r="E61" s="77"/>
      <c r="F61" s="77"/>
      <c r="G61" s="77"/>
      <c r="H61" s="90"/>
      <c r="I61" s="77"/>
      <c r="J61" s="77"/>
    </row>
    <row r="62" spans="2:10" s="7" customFormat="1" ht="12.75">
      <c r="B62" s="12"/>
      <c r="D62" s="63"/>
      <c r="E62" s="77"/>
      <c r="F62" s="77"/>
      <c r="G62" s="77"/>
      <c r="H62" s="90"/>
      <c r="I62" s="77"/>
      <c r="J62" s="77"/>
    </row>
    <row r="63" spans="2:10" s="7" customFormat="1" ht="12.75">
      <c r="B63" s="12"/>
      <c r="D63" s="63"/>
      <c r="E63" s="77"/>
      <c r="F63" s="77"/>
      <c r="G63" s="77"/>
      <c r="H63" s="90"/>
      <c r="I63" s="77"/>
      <c r="J63" s="77"/>
    </row>
    <row r="64" spans="2:10" s="7" customFormat="1" ht="12.75">
      <c r="B64" s="12"/>
      <c r="D64" s="63"/>
      <c r="E64" s="77"/>
      <c r="F64" s="77"/>
      <c r="G64" s="77"/>
      <c r="H64" s="90"/>
      <c r="I64" s="77"/>
      <c r="J64" s="77"/>
    </row>
    <row r="65" spans="2:10" s="7" customFormat="1" ht="12.75">
      <c r="B65" s="12"/>
      <c r="D65" s="63"/>
      <c r="E65" s="77"/>
      <c r="F65" s="77"/>
      <c r="G65" s="77"/>
      <c r="H65" s="90"/>
      <c r="I65" s="77"/>
      <c r="J65" s="77"/>
    </row>
    <row r="66" spans="2:10" s="7" customFormat="1" ht="12.75">
      <c r="B66" s="12"/>
      <c r="D66" s="63"/>
      <c r="E66" s="77"/>
      <c r="F66" s="77"/>
      <c r="G66" s="77"/>
      <c r="H66" s="90"/>
      <c r="I66" s="77"/>
      <c r="J66" s="77"/>
    </row>
    <row r="67" spans="2:10" s="7" customFormat="1" ht="12.75">
      <c r="B67" s="12"/>
      <c r="D67" s="63"/>
      <c r="E67" s="77"/>
      <c r="F67" s="77"/>
      <c r="G67" s="77"/>
      <c r="H67" s="90"/>
      <c r="I67" s="77"/>
      <c r="J67" s="77"/>
    </row>
    <row r="68" spans="2:10" s="7" customFormat="1" ht="12.75">
      <c r="B68" s="12"/>
      <c r="D68" s="63"/>
      <c r="E68" s="77"/>
      <c r="F68" s="77"/>
      <c r="G68" s="77"/>
      <c r="H68" s="90"/>
      <c r="I68" s="77"/>
      <c r="J68" s="77"/>
    </row>
    <row r="69" spans="2:10" s="7" customFormat="1" ht="12.75">
      <c r="B69" s="12"/>
      <c r="D69" s="63"/>
      <c r="E69" s="77"/>
      <c r="F69" s="77"/>
      <c r="G69" s="77"/>
      <c r="H69" s="90"/>
      <c r="I69" s="77"/>
      <c r="J69" s="77"/>
    </row>
    <row r="70" spans="2:10" s="7" customFormat="1" ht="12.75">
      <c r="B70" s="12"/>
      <c r="D70" s="63"/>
      <c r="E70" s="77"/>
      <c r="F70" s="77"/>
      <c r="G70" s="77"/>
      <c r="H70" s="90"/>
      <c r="I70" s="77"/>
      <c r="J70" s="77"/>
    </row>
    <row r="71" spans="2:10" ht="12.75">
      <c r="B71" s="5"/>
      <c r="D71" s="64"/>
      <c r="E71" s="78"/>
      <c r="F71" s="78"/>
      <c r="G71" s="78"/>
      <c r="H71" s="91"/>
      <c r="I71" s="78"/>
      <c r="J71" s="78"/>
    </row>
  </sheetData>
  <sheetProtection/>
  <mergeCells count="10">
    <mergeCell ref="A51:K51"/>
    <mergeCell ref="A7:K7"/>
    <mergeCell ref="K11:K12"/>
    <mergeCell ref="H11:H12"/>
    <mergeCell ref="A44:J44"/>
    <mergeCell ref="A3:K3"/>
    <mergeCell ref="A4:K5"/>
    <mergeCell ref="A46:J46"/>
    <mergeCell ref="A45:J45"/>
    <mergeCell ref="A48:K48"/>
  </mergeCells>
  <printOptions/>
  <pageMargins left="0.78" right="0.2362204724409449" top="0.43" bottom="0.75" header="0" footer="0"/>
  <pageSetup horizontalDpi="300" verticalDpi="3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Ysabel Calderon</cp:lastModifiedBy>
  <cp:lastPrinted>2017-04-25T16:03:17Z</cp:lastPrinted>
  <dcterms:created xsi:type="dcterms:W3CDTF">2007-12-06T17:18:57Z</dcterms:created>
  <dcterms:modified xsi:type="dcterms:W3CDTF">2024-05-08T14:02:03Z</dcterms:modified>
  <cp:category/>
  <cp:version/>
  <cp:contentType/>
  <cp:contentStatus/>
</cp:coreProperties>
</file>