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8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<sst xmlns="http://schemas.openxmlformats.org/spreadsheetml/2006/main" count="67" uniqueCount="54">
  <si>
    <t>Actividad</t>
  </si>
  <si>
    <t>Unidad</t>
  </si>
  <si>
    <t>1- INSUMOS</t>
  </si>
  <si>
    <t xml:space="preserve">   .1 Compra de Plántulas de Siembra</t>
  </si>
  <si>
    <t>Planta</t>
  </si>
  <si>
    <t xml:space="preserve">   .2 Compra para la Resiembra</t>
  </si>
  <si>
    <t xml:space="preserve">   .3 Compra de Fertilizante </t>
  </si>
  <si>
    <t xml:space="preserve">      (15-15-15)</t>
  </si>
  <si>
    <t>Quintal</t>
  </si>
  <si>
    <t xml:space="preserve">   .4 Compra de Insecticida </t>
  </si>
  <si>
    <t>Litro</t>
  </si>
  <si>
    <t xml:space="preserve">   .5 Compra de Fungicida</t>
  </si>
  <si>
    <t xml:space="preserve">      (Dithane M-45)</t>
  </si>
  <si>
    <t>Kilo</t>
  </si>
  <si>
    <t>2-  PREPARACION DEL TERRENO</t>
  </si>
  <si>
    <t xml:space="preserve">   .1 Corte (Mecanizado)</t>
  </si>
  <si>
    <t>Tarea</t>
  </si>
  <si>
    <t xml:space="preserve">   .2 Cruce (Mecanizado)</t>
  </si>
  <si>
    <t xml:space="preserve">   .3 Rastra (Mecanicado)</t>
  </si>
  <si>
    <t>3-  MANO DE OBRA</t>
  </si>
  <si>
    <t xml:space="preserve">   .1  Marcado y Alineación</t>
  </si>
  <si>
    <t>Hom-Día</t>
  </si>
  <si>
    <t xml:space="preserve">   .2  Transporte de Planta</t>
  </si>
  <si>
    <t xml:space="preserve">   .3  Construcción de Hoyos Siembra</t>
  </si>
  <si>
    <t xml:space="preserve">   .4  Construccion de Hoyos Resiembra</t>
  </si>
  <si>
    <t xml:space="preserve">   .5  Transporte de Fertilizantes</t>
  </si>
  <si>
    <t xml:space="preserve">   .6  Aplicación de Fertilizantes</t>
  </si>
  <si>
    <t xml:space="preserve">   .7  Aplicación de Pesticidas</t>
  </si>
  <si>
    <t xml:space="preserve">   .8  Desyerbo</t>
  </si>
  <si>
    <t xml:space="preserve">   .9  Deschuponado y Poda</t>
  </si>
  <si>
    <t xml:space="preserve">   .10  Aporque</t>
  </si>
  <si>
    <t xml:space="preserve">   .11 Recolección y Empaque</t>
  </si>
  <si>
    <t xml:space="preserve">   SUBTOTAL</t>
  </si>
  <si>
    <t xml:space="preserve">   GASTOS ADMINISTRATIVOS (2%)</t>
  </si>
  <si>
    <t xml:space="preserve">   TOTAL GENERAL</t>
  </si>
  <si>
    <t>Participación (%) por Actividad</t>
  </si>
  <si>
    <t>Total Costo Fomento</t>
  </si>
  <si>
    <t>1er, Año Costo</t>
  </si>
  <si>
    <t xml:space="preserve"> 4 -10 Años Costo</t>
  </si>
  <si>
    <t>Costo Total</t>
  </si>
  <si>
    <t>Notas:</t>
  </si>
  <si>
    <t xml:space="preserve">               Estimados por la División de Estudios Económicos.-</t>
  </si>
  <si>
    <t>Valor Unitario</t>
  </si>
  <si>
    <t>2do Año Costo</t>
  </si>
  <si>
    <t>3er Año Costo</t>
  </si>
  <si>
    <t xml:space="preserve">   GASTOS INTERESES 8.0% ANUAL (12 meses 8.0%)</t>
  </si>
  <si>
    <t xml:space="preserve">      (Curacron 50 EC)</t>
  </si>
  <si>
    <t xml:space="preserve"> Precios de los insumos actualizados a marzo, 2022.</t>
  </si>
  <si>
    <t>Viceministerio de Planificación Sectorial Agropecuaria</t>
  </si>
  <si>
    <t>Departamento de Economía Agropecuaria y Estadísticas</t>
  </si>
  <si>
    <t>Cantidad</t>
  </si>
  <si>
    <r>
      <rPr>
        <b/>
        <sz val="9"/>
        <rFont val="Arial Narrow"/>
        <family val="2"/>
      </rPr>
      <t>Nota:</t>
    </r>
    <r>
      <rPr>
        <sz val="9"/>
        <rFont val="Arial Narrow"/>
        <family val="2"/>
      </rPr>
      <t xml:space="preserve">  COSTO FOMENTO: desde el año 1 al 3   Y  COSTO MANTENIMIENTO:  del cuarto año en adelante.</t>
    </r>
  </si>
  <si>
    <r>
      <rPr>
        <b/>
        <sz val="9"/>
        <rFont val="Calibri"/>
        <family val="2"/>
      </rPr>
      <t>Fuente:</t>
    </r>
    <r>
      <rPr>
        <sz val="9"/>
        <rFont val="Calibri"/>
        <family val="2"/>
      </rPr>
      <t xml:space="preserve">  Ministerio de Agricultura, Departamento de Economía Agropecuaria y Estadísticas,</t>
    </r>
  </si>
  <si>
    <t>Costos Variables de Producción de Cajuil, 2022 (RD$/ tarea)</t>
  </si>
</sst>
</file>

<file path=xl/styles.xml><?xml version="1.0" encoding="utf-8"?>
<styleSheet xmlns="http://schemas.openxmlformats.org/spreadsheetml/2006/main">
  <numFmts count="4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&quot;RD$&quot;* #,##0.00_);_(&quot;RD$&quot;* \(#,##0.00\);_(&quot;RD$&quot;* &quot;-&quot;??_);_(@_)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  <numFmt numFmtId="186" formatCode="General_)"/>
    <numFmt numFmtId="187" formatCode="0.00_)"/>
    <numFmt numFmtId="188" formatCode="0.0000_)"/>
    <numFmt numFmtId="189" formatCode="0.000"/>
    <numFmt numFmtId="190" formatCode="0.0000"/>
    <numFmt numFmtId="191" formatCode="#,##0.0\ _€;\-#,##0.0\ _€"/>
    <numFmt numFmtId="192" formatCode="_(* #,##0.0_);_(* \(#,##0.0\);_(* &quot;-&quot;??_);_(@_)"/>
    <numFmt numFmtId="193" formatCode="#,##0.00_ ;\-#,##0.00\ "/>
    <numFmt numFmtId="194" formatCode="0_)"/>
    <numFmt numFmtId="195" formatCode="[$-1C0A]dddd\,\ d\ &quot;de&quot;\ mmmm\ &quot;de&quot;\ yyyy"/>
    <numFmt numFmtId="196" formatCode="[$-1C0A]h:mm:ss\ AM/PM"/>
    <numFmt numFmtId="197" formatCode="#,##0.0"/>
  </numFmts>
  <fonts count="54">
    <font>
      <sz val="10"/>
      <name val="Arial"/>
      <family val="0"/>
    </font>
    <font>
      <sz val="10"/>
      <name val="Baskerville Old Face"/>
      <family val="1"/>
    </font>
    <font>
      <sz val="9"/>
      <name val="Baskerville Old Face"/>
      <family val="1"/>
    </font>
    <font>
      <sz val="8"/>
      <name val="Arial"/>
      <family val="2"/>
    </font>
    <font>
      <sz val="9"/>
      <name val="Arial Narrow"/>
      <family val="2"/>
    </font>
    <font>
      <sz val="10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b/>
      <sz val="12"/>
      <name val="Calibri"/>
      <family val="2"/>
    </font>
    <font>
      <b/>
      <sz val="9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9"/>
      <name val="Calibri"/>
      <family val="2"/>
    </font>
    <font>
      <b/>
      <sz val="9"/>
      <color indexed="8"/>
      <name val="Calibri"/>
      <family val="2"/>
    </font>
    <font>
      <sz val="9"/>
      <color indexed="9"/>
      <name val="Calibri"/>
      <family val="2"/>
    </font>
    <font>
      <sz val="9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0"/>
      <name val="Calibri"/>
      <family val="2"/>
    </font>
    <font>
      <b/>
      <sz val="9"/>
      <color theme="1"/>
      <name val="Calibri"/>
      <family val="2"/>
    </font>
    <font>
      <sz val="9"/>
      <color theme="0"/>
      <name val="Calibri"/>
      <family val="2"/>
    </font>
    <font>
      <sz val="9"/>
      <color theme="1"/>
      <name val="Calibri"/>
      <family val="2"/>
    </font>
    <font>
      <b/>
      <sz val="1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4" tint="-0.4999699890613556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9" fillId="0" borderId="8" applyNumberFormat="0" applyFill="0" applyAlignment="0" applyProtection="0"/>
    <xf numFmtId="0" fontId="48" fillId="0" borderId="9" applyNumberFormat="0" applyFill="0" applyAlignment="0" applyProtection="0"/>
  </cellStyleXfs>
  <cellXfs count="12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33" borderId="0" xfId="0" applyFont="1" applyFill="1" applyAlignment="1">
      <alignment/>
    </xf>
    <xf numFmtId="0" fontId="4" fillId="33" borderId="0" xfId="0" applyFont="1" applyFill="1" applyAlignment="1" applyProtection="1">
      <alignment horizontal="left"/>
      <protection/>
    </xf>
    <xf numFmtId="0" fontId="5" fillId="33" borderId="0" xfId="0" applyFont="1" applyFill="1" applyAlignment="1">
      <alignment/>
    </xf>
    <xf numFmtId="0" fontId="49" fillId="33" borderId="0" xfId="0" applyFont="1" applyFill="1" applyBorder="1" applyAlignment="1" applyProtection="1">
      <alignment horizontal="center"/>
      <protection/>
    </xf>
    <xf numFmtId="0" fontId="6" fillId="33" borderId="10" xfId="0" applyFont="1" applyFill="1" applyBorder="1" applyAlignment="1" applyProtection="1">
      <alignment horizontal="left"/>
      <protection/>
    </xf>
    <xf numFmtId="0" fontId="7" fillId="33" borderId="11" xfId="0" applyFont="1" applyFill="1" applyBorder="1" applyAlignment="1" applyProtection="1">
      <alignment horizontal="left"/>
      <protection/>
    </xf>
    <xf numFmtId="0" fontId="7" fillId="33" borderId="12" xfId="0" applyFont="1" applyFill="1" applyBorder="1" applyAlignment="1" applyProtection="1">
      <alignment horizontal="center"/>
      <protection/>
    </xf>
    <xf numFmtId="9" fontId="7" fillId="33" borderId="13" xfId="53" applyFont="1" applyFill="1" applyBorder="1" applyAlignment="1">
      <alignment horizontal="center"/>
    </xf>
    <xf numFmtId="0" fontId="7" fillId="33" borderId="11" xfId="0" applyFont="1" applyFill="1" applyBorder="1" applyAlignment="1">
      <alignment/>
    </xf>
    <xf numFmtId="0" fontId="6" fillId="33" borderId="11" xfId="0" applyFont="1" applyFill="1" applyBorder="1" applyAlignment="1" applyProtection="1">
      <alignment horizontal="left"/>
      <protection/>
    </xf>
    <xf numFmtId="0" fontId="7" fillId="33" borderId="14" xfId="0" applyFont="1" applyFill="1" applyBorder="1" applyAlignment="1" applyProtection="1">
      <alignment horizontal="left"/>
      <protection/>
    </xf>
    <xf numFmtId="0" fontId="7" fillId="33" borderId="15" xfId="0" applyFont="1" applyFill="1" applyBorder="1" applyAlignment="1" applyProtection="1">
      <alignment horizontal="center"/>
      <protection/>
    </xf>
    <xf numFmtId="9" fontId="7" fillId="33" borderId="16" xfId="53" applyFont="1" applyFill="1" applyBorder="1" applyAlignment="1">
      <alignment horizontal="center"/>
    </xf>
    <xf numFmtId="0" fontId="7" fillId="33" borderId="17" xfId="0" applyFont="1" applyFill="1" applyBorder="1" applyAlignment="1" applyProtection="1">
      <alignment horizontal="left"/>
      <protection/>
    </xf>
    <xf numFmtId="9" fontId="7" fillId="33" borderId="18" xfId="53" applyFont="1" applyFill="1" applyBorder="1" applyAlignment="1" applyProtection="1">
      <alignment horizontal="center"/>
      <protection/>
    </xf>
    <xf numFmtId="0" fontId="7" fillId="33" borderId="19" xfId="0" applyFont="1" applyFill="1" applyBorder="1" applyAlignment="1" applyProtection="1">
      <alignment horizontal="left"/>
      <protection/>
    </xf>
    <xf numFmtId="9" fontId="7" fillId="33" borderId="20" xfId="53" applyFont="1" applyFill="1" applyBorder="1" applyAlignment="1" applyProtection="1">
      <alignment horizontal="center"/>
      <protection/>
    </xf>
    <xf numFmtId="0" fontId="7" fillId="33" borderId="0" xfId="0" applyFont="1" applyFill="1" applyAlignment="1">
      <alignment/>
    </xf>
    <xf numFmtId="0" fontId="49" fillId="34" borderId="19" xfId="0" applyFont="1" applyFill="1" applyBorder="1" applyAlignment="1" applyProtection="1">
      <alignment horizontal="left"/>
      <protection/>
    </xf>
    <xf numFmtId="9" fontId="49" fillId="34" borderId="20" xfId="53" applyFont="1" applyFill="1" applyBorder="1" applyAlignment="1" applyProtection="1">
      <alignment horizontal="center"/>
      <protection/>
    </xf>
    <xf numFmtId="0" fontId="4" fillId="0" borderId="0" xfId="0" applyFont="1" applyAlignment="1">
      <alignment horizontal="center"/>
    </xf>
    <xf numFmtId="0" fontId="50" fillId="33" borderId="0" xfId="0" applyFont="1" applyFill="1" applyBorder="1" applyAlignment="1" applyProtection="1">
      <alignment horizontal="center"/>
      <protection/>
    </xf>
    <xf numFmtId="0" fontId="6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2" fillId="33" borderId="0" xfId="0" applyFont="1" applyFill="1" applyAlignment="1">
      <alignment/>
    </xf>
    <xf numFmtId="187" fontId="5" fillId="33" borderId="0" xfId="0" applyNumberFormat="1" applyFont="1" applyFill="1" applyAlignment="1">
      <alignment/>
    </xf>
    <xf numFmtId="39" fontId="51" fillId="33" borderId="0" xfId="0" applyNumberFormat="1" applyFont="1" applyFill="1" applyAlignment="1">
      <alignment/>
    </xf>
    <xf numFmtId="0" fontId="6" fillId="33" borderId="17" xfId="0" applyFont="1" applyFill="1" applyBorder="1" applyAlignment="1" applyProtection="1">
      <alignment horizontal="left"/>
      <protection/>
    </xf>
    <xf numFmtId="9" fontId="7" fillId="33" borderId="18" xfId="53" applyFont="1" applyFill="1" applyBorder="1" applyAlignment="1">
      <alignment horizontal="center"/>
    </xf>
    <xf numFmtId="187" fontId="5" fillId="33" borderId="0" xfId="0" applyNumberFormat="1" applyFont="1" applyFill="1" applyBorder="1" applyAlignment="1">
      <alignment/>
    </xf>
    <xf numFmtId="0" fontId="7" fillId="33" borderId="21" xfId="0" applyFont="1" applyFill="1" applyBorder="1" applyAlignment="1" applyProtection="1">
      <alignment horizontal="left"/>
      <protection/>
    </xf>
    <xf numFmtId="0" fontId="7" fillId="33" borderId="21" xfId="0" applyFont="1" applyFill="1" applyBorder="1" applyAlignment="1" applyProtection="1">
      <alignment horizontal="center"/>
      <protection/>
    </xf>
    <xf numFmtId="9" fontId="7" fillId="33" borderId="21" xfId="53" applyFont="1" applyFill="1" applyBorder="1" applyAlignment="1">
      <alignment horizontal="center"/>
    </xf>
    <xf numFmtId="0" fontId="5" fillId="33" borderId="0" xfId="0" applyFont="1" applyFill="1" applyAlignment="1">
      <alignment horizontal="center"/>
    </xf>
    <xf numFmtId="0" fontId="7" fillId="33" borderId="22" xfId="0" applyFont="1" applyFill="1" applyBorder="1" applyAlignment="1">
      <alignment horizontal="center"/>
    </xf>
    <xf numFmtId="187" fontId="7" fillId="33" borderId="12" xfId="0" applyNumberFormat="1" applyFont="1" applyFill="1" applyBorder="1" applyAlignment="1" applyProtection="1">
      <alignment horizontal="center"/>
      <protection/>
    </xf>
    <xf numFmtId="0" fontId="7" fillId="33" borderId="12" xfId="0" applyFont="1" applyFill="1" applyBorder="1" applyAlignment="1">
      <alignment horizontal="center"/>
    </xf>
    <xf numFmtId="190" fontId="7" fillId="33" borderId="12" xfId="0" applyNumberFormat="1" applyFont="1" applyFill="1" applyBorder="1" applyAlignment="1" applyProtection="1">
      <alignment horizontal="center"/>
      <protection/>
    </xf>
    <xf numFmtId="188" fontId="7" fillId="33" borderId="12" xfId="0" applyNumberFormat="1" applyFont="1" applyFill="1" applyBorder="1" applyAlignment="1" applyProtection="1">
      <alignment horizontal="center"/>
      <protection/>
    </xf>
    <xf numFmtId="188" fontId="7" fillId="33" borderId="15" xfId="0" applyNumberFormat="1" applyFont="1" applyFill="1" applyBorder="1" applyAlignment="1" applyProtection="1">
      <alignment horizontal="center"/>
      <protection/>
    </xf>
    <xf numFmtId="188" fontId="7" fillId="33" borderId="21" xfId="0" applyNumberFormat="1" applyFont="1" applyFill="1" applyBorder="1" applyAlignment="1" applyProtection="1">
      <alignment horizontal="center"/>
      <protection/>
    </xf>
    <xf numFmtId="0" fontId="7" fillId="33" borderId="0" xfId="0" applyFont="1" applyFill="1" applyBorder="1" applyAlignment="1">
      <alignment horizontal="center"/>
    </xf>
    <xf numFmtId="0" fontId="7" fillId="33" borderId="23" xfId="0" applyFont="1" applyFill="1" applyBorder="1" applyAlignment="1">
      <alignment horizontal="center"/>
    </xf>
    <xf numFmtId="0" fontId="49" fillId="34" borderId="23" xfId="0" applyFont="1" applyFill="1" applyBorder="1" applyAlignment="1">
      <alignment horizontal="center"/>
    </xf>
    <xf numFmtId="0" fontId="7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"/>
    </xf>
    <xf numFmtId="188" fontId="4" fillId="0" borderId="0" xfId="0" applyNumberFormat="1" applyFont="1" applyAlignment="1" applyProtection="1">
      <alignment horizontal="center"/>
      <protection/>
    </xf>
    <xf numFmtId="7" fontId="7" fillId="33" borderId="0" xfId="0" applyNumberFormat="1" applyFont="1" applyFill="1" applyAlignment="1" applyProtection="1">
      <alignment horizontal="center"/>
      <protection/>
    </xf>
    <xf numFmtId="191" fontId="52" fillId="33" borderId="12" xfId="0" applyNumberFormat="1" applyFont="1" applyFill="1" applyBorder="1" applyAlignment="1" applyProtection="1">
      <alignment horizontal="center"/>
      <protection/>
    </xf>
    <xf numFmtId="0" fontId="52" fillId="33" borderId="12" xfId="0" applyFont="1" applyFill="1" applyBorder="1" applyAlignment="1">
      <alignment horizontal="center"/>
    </xf>
    <xf numFmtId="187" fontId="52" fillId="33" borderId="12" xfId="0" applyNumberFormat="1" applyFont="1" applyFill="1" applyBorder="1" applyAlignment="1" applyProtection="1">
      <alignment horizontal="center"/>
      <protection/>
    </xf>
    <xf numFmtId="187" fontId="52" fillId="33" borderId="15" xfId="0" applyNumberFormat="1" applyFont="1" applyFill="1" applyBorder="1" applyAlignment="1" applyProtection="1">
      <alignment horizontal="center"/>
      <protection/>
    </xf>
    <xf numFmtId="187" fontId="52" fillId="33" borderId="21" xfId="0" applyNumberFormat="1" applyFont="1" applyFill="1" applyBorder="1" applyAlignment="1" applyProtection="1">
      <alignment horizontal="center"/>
      <protection/>
    </xf>
    <xf numFmtId="10" fontId="7" fillId="33" borderId="0" xfId="0" applyNumberFormat="1" applyFont="1" applyFill="1" applyAlignment="1" applyProtection="1">
      <alignment horizontal="center"/>
      <protection/>
    </xf>
    <xf numFmtId="187" fontId="4" fillId="33" borderId="0" xfId="0" applyNumberFormat="1" applyFont="1" applyFill="1" applyAlignment="1" applyProtection="1">
      <alignment horizontal="center"/>
      <protection/>
    </xf>
    <xf numFmtId="187" fontId="4" fillId="0" borderId="0" xfId="0" applyNumberFormat="1" applyFont="1" applyAlignment="1" applyProtection="1">
      <alignment horizontal="center"/>
      <protection/>
    </xf>
    <xf numFmtId="43" fontId="6" fillId="33" borderId="12" xfId="47" applyFont="1" applyFill="1" applyBorder="1" applyAlignment="1">
      <alignment horizontal="center"/>
    </xf>
    <xf numFmtId="187" fontId="7" fillId="33" borderId="15" xfId="0" applyNumberFormat="1" applyFont="1" applyFill="1" applyBorder="1" applyAlignment="1" applyProtection="1">
      <alignment horizontal="center"/>
      <protection/>
    </xf>
    <xf numFmtId="187" fontId="7" fillId="33" borderId="21" xfId="0" applyNumberFormat="1" applyFont="1" applyFill="1" applyBorder="1" applyAlignment="1" applyProtection="1">
      <alignment horizontal="center"/>
      <protection/>
    </xf>
    <xf numFmtId="39" fontId="6" fillId="33" borderId="24" xfId="0" applyNumberFormat="1" applyFont="1" applyFill="1" applyBorder="1" applyAlignment="1" applyProtection="1">
      <alignment horizontal="center"/>
      <protection/>
    </xf>
    <xf numFmtId="39" fontId="7" fillId="33" borderId="24" xfId="0" applyNumberFormat="1" applyFont="1" applyFill="1" applyBorder="1" applyAlignment="1" applyProtection="1">
      <alignment horizontal="center"/>
      <protection/>
    </xf>
    <xf numFmtId="39" fontId="7" fillId="33" borderId="25" xfId="0" applyNumberFormat="1" applyFont="1" applyFill="1" applyBorder="1" applyAlignment="1" applyProtection="1">
      <alignment horizontal="center"/>
      <protection/>
    </xf>
    <xf numFmtId="39" fontId="49" fillId="34" borderId="15" xfId="0" applyNumberFormat="1" applyFont="1" applyFill="1" applyBorder="1" applyAlignment="1" applyProtection="1">
      <alignment horizontal="center"/>
      <protection/>
    </xf>
    <xf numFmtId="187" fontId="6" fillId="33" borderId="12" xfId="0" applyNumberFormat="1" applyFont="1" applyFill="1" applyBorder="1" applyAlignment="1" applyProtection="1">
      <alignment horizontal="center"/>
      <protection/>
    </xf>
    <xf numFmtId="187" fontId="6" fillId="33" borderId="12" xfId="0" applyNumberFormat="1" applyFont="1" applyFill="1" applyBorder="1" applyAlignment="1">
      <alignment horizontal="center"/>
    </xf>
    <xf numFmtId="187" fontId="6" fillId="33" borderId="15" xfId="0" applyNumberFormat="1" applyFont="1" applyFill="1" applyBorder="1" applyAlignment="1">
      <alignment horizontal="center"/>
    </xf>
    <xf numFmtId="187" fontId="6" fillId="33" borderId="21" xfId="0" applyNumberFormat="1" applyFont="1" applyFill="1" applyBorder="1" applyAlignment="1">
      <alignment horizontal="center"/>
    </xf>
    <xf numFmtId="3" fontId="6" fillId="33" borderId="12" xfId="0" applyNumberFormat="1" applyFont="1" applyFill="1" applyBorder="1" applyAlignment="1" applyProtection="1">
      <alignment horizontal="center"/>
      <protection/>
    </xf>
    <xf numFmtId="4" fontId="6" fillId="33" borderId="0" xfId="0" applyNumberFormat="1" applyFont="1" applyFill="1" applyAlignment="1">
      <alignment horizontal="center"/>
    </xf>
    <xf numFmtId="4" fontId="50" fillId="33" borderId="0" xfId="0" applyNumberFormat="1" applyFont="1" applyFill="1" applyBorder="1" applyAlignment="1" applyProtection="1">
      <alignment horizontal="center"/>
      <protection/>
    </xf>
    <xf numFmtId="4" fontId="49" fillId="33" borderId="0" xfId="0" applyNumberFormat="1" applyFont="1" applyFill="1" applyBorder="1" applyAlignment="1" applyProtection="1">
      <alignment horizontal="center"/>
      <protection/>
    </xf>
    <xf numFmtId="4" fontId="6" fillId="33" borderId="22" xfId="47" applyNumberFormat="1" applyFont="1" applyFill="1" applyBorder="1" applyAlignment="1">
      <alignment horizontal="center"/>
    </xf>
    <xf numFmtId="4" fontId="7" fillId="33" borderId="12" xfId="0" applyNumberFormat="1" applyFont="1" applyFill="1" applyBorder="1" applyAlignment="1">
      <alignment horizontal="center"/>
    </xf>
    <xf numFmtId="4" fontId="7" fillId="33" borderId="12" xfId="0" applyNumberFormat="1" applyFont="1" applyFill="1" applyBorder="1" applyAlignment="1" applyProtection="1">
      <alignment horizontal="center"/>
      <protection/>
    </xf>
    <xf numFmtId="4" fontId="6" fillId="33" borderId="12" xfId="47" applyNumberFormat="1" applyFont="1" applyFill="1" applyBorder="1" applyAlignment="1">
      <alignment horizontal="center"/>
    </xf>
    <xf numFmtId="4" fontId="7" fillId="33" borderId="15" xfId="0" applyNumberFormat="1" applyFont="1" applyFill="1" applyBorder="1" applyAlignment="1" applyProtection="1">
      <alignment horizontal="center"/>
      <protection/>
    </xf>
    <xf numFmtId="4" fontId="7" fillId="33" borderId="21" xfId="0" applyNumberFormat="1" applyFont="1" applyFill="1" applyBorder="1" applyAlignment="1" applyProtection="1">
      <alignment horizontal="center"/>
      <protection/>
    </xf>
    <xf numFmtId="4" fontId="6" fillId="33" borderId="24" xfId="0" applyNumberFormat="1" applyFont="1" applyFill="1" applyBorder="1" applyAlignment="1" applyProtection="1">
      <alignment horizontal="center"/>
      <protection/>
    </xf>
    <xf numFmtId="4" fontId="7" fillId="33" borderId="24" xfId="0" applyNumberFormat="1" applyFont="1" applyFill="1" applyBorder="1" applyAlignment="1" applyProtection="1">
      <alignment horizontal="center"/>
      <protection/>
    </xf>
    <xf numFmtId="4" fontId="7" fillId="33" borderId="25" xfId="0" applyNumberFormat="1" applyFont="1" applyFill="1" applyBorder="1" applyAlignment="1" applyProtection="1">
      <alignment horizontal="center"/>
      <protection/>
    </xf>
    <xf numFmtId="4" fontId="49" fillId="34" borderId="15" xfId="0" applyNumberFormat="1" applyFont="1" applyFill="1" applyBorder="1" applyAlignment="1" applyProtection="1">
      <alignment horizontal="center"/>
      <protection/>
    </xf>
    <xf numFmtId="4" fontId="7" fillId="33" borderId="0" xfId="0" applyNumberFormat="1" applyFont="1" applyFill="1" applyAlignment="1">
      <alignment horizontal="center"/>
    </xf>
    <xf numFmtId="4" fontId="7" fillId="33" borderId="0" xfId="0" applyNumberFormat="1" applyFont="1" applyFill="1" applyAlignment="1" applyProtection="1">
      <alignment horizontal="center"/>
      <protection/>
    </xf>
    <xf numFmtId="4" fontId="4" fillId="33" borderId="0" xfId="0" applyNumberFormat="1" applyFont="1" applyFill="1" applyAlignment="1">
      <alignment horizontal="center"/>
    </xf>
    <xf numFmtId="4" fontId="4" fillId="33" borderId="0" xfId="0" applyNumberFormat="1" applyFont="1" applyFill="1" applyAlignment="1" applyProtection="1">
      <alignment horizontal="center"/>
      <protection/>
    </xf>
    <xf numFmtId="4" fontId="4" fillId="0" borderId="0" xfId="0" applyNumberFormat="1" applyFont="1" applyAlignment="1" applyProtection="1">
      <alignment horizontal="center"/>
      <protection/>
    </xf>
    <xf numFmtId="4" fontId="4" fillId="0" borderId="0" xfId="0" applyNumberFormat="1" applyFont="1" applyAlignment="1">
      <alignment horizontal="center"/>
    </xf>
    <xf numFmtId="39" fontId="6" fillId="33" borderId="12" xfId="0" applyNumberFormat="1" applyFont="1" applyFill="1" applyBorder="1" applyAlignment="1" applyProtection="1">
      <alignment horizontal="center"/>
      <protection/>
    </xf>
    <xf numFmtId="39" fontId="7" fillId="33" borderId="12" xfId="0" applyNumberFormat="1" applyFont="1" applyFill="1" applyBorder="1" applyAlignment="1" applyProtection="1">
      <alignment horizontal="center"/>
      <protection/>
    </xf>
    <xf numFmtId="39" fontId="7" fillId="33" borderId="15" xfId="0" applyNumberFormat="1" applyFont="1" applyFill="1" applyBorder="1" applyAlignment="1" applyProtection="1">
      <alignment horizontal="center"/>
      <protection/>
    </xf>
    <xf numFmtId="39" fontId="49" fillId="34" borderId="25" xfId="0" applyNumberFormat="1" applyFont="1" applyFill="1" applyBorder="1" applyAlignment="1" applyProtection="1">
      <alignment horizontal="center"/>
      <protection/>
    </xf>
    <xf numFmtId="0" fontId="51" fillId="33" borderId="0" xfId="0" applyFont="1" applyFill="1" applyAlignment="1">
      <alignment horizontal="center"/>
    </xf>
    <xf numFmtId="4" fontId="7" fillId="33" borderId="24" xfId="0" applyNumberFormat="1" applyFont="1" applyFill="1" applyBorder="1" applyAlignment="1">
      <alignment horizontal="center"/>
    </xf>
    <xf numFmtId="4" fontId="7" fillId="33" borderId="24" xfId="47" applyNumberFormat="1" applyFont="1" applyFill="1" applyBorder="1" applyAlignment="1" applyProtection="1">
      <alignment horizontal="center"/>
      <protection/>
    </xf>
    <xf numFmtId="4" fontId="7" fillId="33" borderId="12" xfId="47" applyNumberFormat="1" applyFont="1" applyFill="1" applyBorder="1" applyAlignment="1">
      <alignment horizontal="center"/>
    </xf>
    <xf numFmtId="9" fontId="6" fillId="33" borderId="13" xfId="53" applyFont="1" applyFill="1" applyBorder="1" applyAlignment="1">
      <alignment horizontal="center"/>
    </xf>
    <xf numFmtId="0" fontId="8" fillId="33" borderId="0" xfId="0" applyFont="1" applyFill="1" applyAlignment="1">
      <alignment vertical="center"/>
    </xf>
    <xf numFmtId="0" fontId="50" fillId="35" borderId="0" xfId="0" applyFont="1" applyFill="1" applyBorder="1" applyAlignment="1" applyProtection="1">
      <alignment horizontal="center"/>
      <protection/>
    </xf>
    <xf numFmtId="4" fontId="50" fillId="35" borderId="0" xfId="0" applyNumberFormat="1" applyFont="1" applyFill="1" applyBorder="1" applyAlignment="1" applyProtection="1">
      <alignment horizontal="center"/>
      <protection/>
    </xf>
    <xf numFmtId="0" fontId="49" fillId="35" borderId="10" xfId="0" applyFont="1" applyFill="1" applyBorder="1" applyAlignment="1">
      <alignment/>
    </xf>
    <xf numFmtId="0" fontId="49" fillId="35" borderId="11" xfId="0" applyFont="1" applyFill="1" applyBorder="1" applyAlignment="1">
      <alignment/>
    </xf>
    <xf numFmtId="0" fontId="49" fillId="35" borderId="11" xfId="0" applyFont="1" applyFill="1" applyBorder="1" applyAlignment="1" applyProtection="1">
      <alignment horizontal="left" vertical="top"/>
      <protection/>
    </xf>
    <xf numFmtId="0" fontId="8" fillId="33" borderId="0" xfId="0" applyFont="1" applyFill="1" applyAlignment="1">
      <alignment horizontal="center" vertical="center"/>
    </xf>
    <xf numFmtId="0" fontId="4" fillId="0" borderId="0" xfId="0" applyFont="1" applyAlignment="1">
      <alignment horizontal="center"/>
    </xf>
    <xf numFmtId="0" fontId="49" fillId="35" borderId="26" xfId="0" applyFont="1" applyFill="1" applyBorder="1" applyAlignment="1" applyProtection="1">
      <alignment horizontal="center" vertical="center" wrapText="1"/>
      <protection/>
    </xf>
    <xf numFmtId="0" fontId="49" fillId="35" borderId="18" xfId="0" applyFont="1" applyFill="1" applyBorder="1" applyAlignment="1" applyProtection="1">
      <alignment horizontal="center" vertical="center" wrapText="1"/>
      <protection/>
    </xf>
    <xf numFmtId="0" fontId="49" fillId="35" borderId="20" xfId="0" applyFont="1" applyFill="1" applyBorder="1" applyAlignment="1" applyProtection="1">
      <alignment horizontal="center" vertical="center" wrapText="1"/>
      <protection/>
    </xf>
    <xf numFmtId="0" fontId="53" fillId="33" borderId="0" xfId="0" applyFont="1" applyFill="1" applyBorder="1" applyAlignment="1" applyProtection="1">
      <alignment horizontal="center"/>
      <protection/>
    </xf>
    <xf numFmtId="0" fontId="4" fillId="33" borderId="0" xfId="0" applyFont="1" applyFill="1" applyAlignment="1">
      <alignment horizontal="left"/>
    </xf>
    <xf numFmtId="0" fontId="49" fillId="35" borderId="22" xfId="0" applyFont="1" applyFill="1" applyBorder="1" applyAlignment="1" applyProtection="1">
      <alignment horizontal="center" vertical="center" wrapText="1"/>
      <protection/>
    </xf>
    <xf numFmtId="0" fontId="49" fillId="35" borderId="12" xfId="0" applyFont="1" applyFill="1" applyBorder="1" applyAlignment="1" applyProtection="1">
      <alignment horizontal="center" vertical="center" wrapText="1"/>
      <protection/>
    </xf>
    <xf numFmtId="0" fontId="49" fillId="35" borderId="15" xfId="0" applyFont="1" applyFill="1" applyBorder="1" applyAlignment="1" applyProtection="1">
      <alignment horizontal="center" vertical="center" wrapText="1"/>
      <protection/>
    </xf>
    <xf numFmtId="0" fontId="7" fillId="33" borderId="0" xfId="0" applyFont="1" applyFill="1" applyAlignment="1" applyProtection="1">
      <alignment horizontal="left"/>
      <protection/>
    </xf>
    <xf numFmtId="0" fontId="7" fillId="33" borderId="0" xfId="0" applyFont="1" applyFill="1" applyAlignment="1" applyProtection="1">
      <alignment horizontal="left" wrapText="1"/>
      <protection/>
    </xf>
    <xf numFmtId="0" fontId="7" fillId="33" borderId="0" xfId="0" applyFont="1" applyFill="1" applyAlignment="1">
      <alignment horizontal="left" wrapText="1"/>
    </xf>
    <xf numFmtId="4" fontId="49" fillId="35" borderId="22" xfId="0" applyNumberFormat="1" applyFont="1" applyFill="1" applyBorder="1" applyAlignment="1" applyProtection="1">
      <alignment horizontal="center" vertical="center" wrapText="1"/>
      <protection/>
    </xf>
    <xf numFmtId="4" fontId="49" fillId="35" borderId="12" xfId="0" applyNumberFormat="1" applyFont="1" applyFill="1" applyBorder="1" applyAlignment="1" applyProtection="1">
      <alignment horizontal="center" vertical="center" wrapText="1"/>
      <protection/>
    </xf>
    <xf numFmtId="4" fontId="49" fillId="35" borderId="15" xfId="0" applyNumberFormat="1" applyFont="1" applyFill="1" applyBorder="1" applyAlignment="1" applyProtection="1">
      <alignment horizontal="center" vertical="center" wrapText="1"/>
      <protection/>
    </xf>
    <xf numFmtId="0" fontId="49" fillId="35" borderId="22" xfId="0" applyFont="1" applyFill="1" applyBorder="1" applyAlignment="1" applyProtection="1">
      <alignment horizontal="center" vertical="center"/>
      <protection/>
    </xf>
    <xf numFmtId="0" fontId="49" fillId="35" borderId="12" xfId="0" applyFont="1" applyFill="1" applyBorder="1" applyAlignment="1" applyProtection="1">
      <alignment horizontal="center" vertical="center"/>
      <protection/>
    </xf>
    <xf numFmtId="0" fontId="49" fillId="35" borderId="15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295275</xdr:colOff>
      <xdr:row>0</xdr:row>
      <xdr:rowOff>9525</xdr:rowOff>
    </xdr:from>
    <xdr:to>
      <xdr:col>5</xdr:col>
      <xdr:colOff>190500</xdr:colOff>
      <xdr:row>3</xdr:row>
      <xdr:rowOff>28575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0950" y="9525"/>
          <a:ext cx="14668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77"/>
  <sheetViews>
    <sheetView tabSelected="1" zoomScalePageLayoutView="0" workbookViewId="0" topLeftCell="A2">
      <selection activeCell="N15" sqref="M15:N15"/>
    </sheetView>
  </sheetViews>
  <sheetFormatPr defaultColWidth="11.00390625" defaultRowHeight="12.75"/>
  <cols>
    <col min="1" max="1" width="32.421875" style="3" customWidth="1"/>
    <col min="2" max="3" width="10.00390625" style="24" customWidth="1"/>
    <col min="4" max="4" width="12.00390625" style="24" customWidth="1"/>
    <col min="5" max="5" width="11.57421875" style="24" customWidth="1"/>
    <col min="6" max="6" width="9.8515625" style="24" customWidth="1"/>
    <col min="7" max="7" width="11.7109375" style="24" customWidth="1"/>
    <col min="8" max="8" width="12.00390625" style="24" customWidth="1"/>
    <col min="9" max="9" width="10.00390625" style="90" customWidth="1"/>
    <col min="10" max="10" width="10.00390625" style="24" customWidth="1"/>
    <col min="11" max="11" width="12.28125" style="3" customWidth="1"/>
    <col min="12" max="12" width="11.140625" style="27" customWidth="1"/>
    <col min="13" max="13" width="11.00390625" style="27" customWidth="1"/>
    <col min="14" max="16384" width="11.00390625" style="1" customWidth="1"/>
  </cols>
  <sheetData>
    <row r="1" spans="1:12" ht="11.25" customHeight="1">
      <c r="A1" s="6"/>
      <c r="B1" s="37"/>
      <c r="C1" s="37"/>
      <c r="D1" s="37"/>
      <c r="E1" s="37"/>
      <c r="F1" s="37"/>
      <c r="G1" s="37"/>
      <c r="H1" s="37"/>
      <c r="I1" s="72"/>
      <c r="J1" s="48"/>
      <c r="K1" s="21"/>
      <c r="L1" s="21"/>
    </row>
    <row r="2" spans="1:12" ht="12.75">
      <c r="A2" s="6"/>
      <c r="B2" s="37"/>
      <c r="C2" s="37"/>
      <c r="D2" s="37"/>
      <c r="E2" s="37"/>
      <c r="F2" s="37"/>
      <c r="G2" s="37"/>
      <c r="H2" s="37"/>
      <c r="I2" s="72"/>
      <c r="J2" s="48"/>
      <c r="K2" s="21"/>
      <c r="L2" s="21"/>
    </row>
    <row r="3" spans="1:12" ht="12.75">
      <c r="A3" s="6"/>
      <c r="B3" s="37"/>
      <c r="C3" s="37"/>
      <c r="D3" s="37"/>
      <c r="E3" s="37"/>
      <c r="F3" s="37"/>
      <c r="G3" s="37"/>
      <c r="H3" s="37"/>
      <c r="I3" s="72"/>
      <c r="J3" s="48"/>
      <c r="K3" s="21"/>
      <c r="L3" s="21"/>
    </row>
    <row r="4" spans="1:12" ht="12" customHeight="1">
      <c r="A4" s="106" t="s">
        <v>48</v>
      </c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0"/>
    </row>
    <row r="5" spans="1:12" ht="8.25" customHeight="1">
      <c r="A5" s="106" t="s">
        <v>49</v>
      </c>
      <c r="B5" s="106"/>
      <c r="C5" s="106"/>
      <c r="D5" s="106"/>
      <c r="E5" s="106"/>
      <c r="F5" s="106"/>
      <c r="G5" s="106"/>
      <c r="H5" s="106"/>
      <c r="I5" s="106"/>
      <c r="J5" s="106"/>
      <c r="K5" s="106"/>
      <c r="L5" s="100"/>
    </row>
    <row r="6" spans="1:12" ht="12" customHeight="1">
      <c r="A6" s="106"/>
      <c r="B6" s="106"/>
      <c r="C6" s="106"/>
      <c r="D6" s="106"/>
      <c r="E6" s="106"/>
      <c r="F6" s="106"/>
      <c r="G6" s="106"/>
      <c r="H6" s="106"/>
      <c r="I6" s="106"/>
      <c r="J6" s="106"/>
      <c r="K6" s="106"/>
      <c r="L6" s="100"/>
    </row>
    <row r="7" spans="1:12" ht="18" customHeight="1">
      <c r="A7" s="111" t="s">
        <v>53</v>
      </c>
      <c r="B7" s="111"/>
      <c r="C7" s="111"/>
      <c r="D7" s="111"/>
      <c r="E7" s="111"/>
      <c r="F7" s="111"/>
      <c r="G7" s="111"/>
      <c r="H7" s="111"/>
      <c r="I7" s="111"/>
      <c r="J7" s="111"/>
      <c r="K7" s="111"/>
      <c r="L7" s="6"/>
    </row>
    <row r="8" spans="1:12" ht="6" customHeight="1">
      <c r="A8" s="25"/>
      <c r="B8" s="25"/>
      <c r="C8" s="25"/>
      <c r="D8" s="25"/>
      <c r="E8" s="25"/>
      <c r="F8" s="25"/>
      <c r="G8" s="25"/>
      <c r="H8" s="25"/>
      <c r="I8" s="73"/>
      <c r="J8" s="25"/>
      <c r="K8" s="25"/>
      <c r="L8" s="6"/>
    </row>
    <row r="9" spans="1:12" ht="2.25" customHeight="1">
      <c r="A9" s="101"/>
      <c r="B9" s="101"/>
      <c r="C9" s="101"/>
      <c r="D9" s="101"/>
      <c r="E9" s="101"/>
      <c r="F9" s="101"/>
      <c r="G9" s="101"/>
      <c r="H9" s="101"/>
      <c r="I9" s="102"/>
      <c r="J9" s="101"/>
      <c r="K9" s="101"/>
      <c r="L9" s="6"/>
    </row>
    <row r="10" spans="1:12" ht="8.25" customHeight="1" thickBot="1">
      <c r="A10" s="7"/>
      <c r="B10" s="7"/>
      <c r="C10" s="7"/>
      <c r="D10" s="7"/>
      <c r="E10" s="7"/>
      <c r="F10" s="7"/>
      <c r="G10" s="7"/>
      <c r="H10" s="7"/>
      <c r="I10" s="74"/>
      <c r="J10" s="7"/>
      <c r="K10" s="7"/>
      <c r="L10" s="6"/>
    </row>
    <row r="11" spans="1:13" s="2" customFormat="1" ht="18.75" customHeight="1">
      <c r="A11" s="103"/>
      <c r="B11" s="122" t="s">
        <v>50</v>
      </c>
      <c r="C11" s="122" t="s">
        <v>1</v>
      </c>
      <c r="D11" s="122" t="s">
        <v>42</v>
      </c>
      <c r="E11" s="113" t="s">
        <v>37</v>
      </c>
      <c r="F11" s="113" t="s">
        <v>43</v>
      </c>
      <c r="G11" s="113" t="s">
        <v>44</v>
      </c>
      <c r="H11" s="113" t="s">
        <v>36</v>
      </c>
      <c r="I11" s="119" t="s">
        <v>38</v>
      </c>
      <c r="J11" s="113" t="s">
        <v>39</v>
      </c>
      <c r="K11" s="108" t="s">
        <v>35</v>
      </c>
      <c r="L11" s="21"/>
      <c r="M11" s="28"/>
    </row>
    <row r="12" spans="1:13" s="2" customFormat="1" ht="6.75" customHeight="1">
      <c r="A12" s="104"/>
      <c r="B12" s="123"/>
      <c r="C12" s="123"/>
      <c r="D12" s="123"/>
      <c r="E12" s="114"/>
      <c r="F12" s="114"/>
      <c r="G12" s="114"/>
      <c r="H12" s="114"/>
      <c r="I12" s="120"/>
      <c r="J12" s="114"/>
      <c r="K12" s="109"/>
      <c r="L12" s="21"/>
      <c r="M12" s="28"/>
    </row>
    <row r="13" spans="1:13" s="2" customFormat="1" ht="25.5" customHeight="1" thickBot="1">
      <c r="A13" s="105" t="s">
        <v>0</v>
      </c>
      <c r="B13" s="124"/>
      <c r="C13" s="124"/>
      <c r="D13" s="124"/>
      <c r="E13" s="115"/>
      <c r="F13" s="115"/>
      <c r="G13" s="115"/>
      <c r="H13" s="115"/>
      <c r="I13" s="121"/>
      <c r="J13" s="115"/>
      <c r="K13" s="110"/>
      <c r="L13" s="21"/>
      <c r="M13" s="28"/>
    </row>
    <row r="14" spans="1:12" ht="15.75" customHeight="1">
      <c r="A14" s="8" t="s">
        <v>2</v>
      </c>
      <c r="B14" s="38"/>
      <c r="C14" s="38"/>
      <c r="D14" s="38"/>
      <c r="E14" s="67">
        <f aca="true" t="shared" si="0" ref="E14:K14">SUM(E15:E22)</f>
        <v>349.74740268</v>
      </c>
      <c r="F14" s="67">
        <f t="shared" si="0"/>
        <v>194.84013287399998</v>
      </c>
      <c r="G14" s="67">
        <f t="shared" si="0"/>
        <v>277.70795469</v>
      </c>
      <c r="H14" s="67">
        <f t="shared" si="0"/>
        <v>822.295490244</v>
      </c>
      <c r="I14" s="75">
        <f t="shared" si="0"/>
        <v>4051.389576756</v>
      </c>
      <c r="J14" s="75">
        <f t="shared" si="0"/>
        <v>4873.685066999999</v>
      </c>
      <c r="K14" s="99">
        <f t="shared" si="0"/>
        <v>0.5166604029223127</v>
      </c>
      <c r="L14" s="6"/>
    </row>
    <row r="15" spans="1:12" ht="12.75">
      <c r="A15" s="9" t="s">
        <v>3</v>
      </c>
      <c r="B15" s="39">
        <v>15</v>
      </c>
      <c r="C15" s="10" t="s">
        <v>4</v>
      </c>
      <c r="D15" s="39">
        <v>15</v>
      </c>
      <c r="E15" s="39">
        <f>(D15*B15)</f>
        <v>225</v>
      </c>
      <c r="F15" s="40"/>
      <c r="G15" s="40"/>
      <c r="H15" s="68">
        <f>SUM(E15:G15)</f>
        <v>225</v>
      </c>
      <c r="I15" s="76"/>
      <c r="J15" s="39">
        <f>(D15*B15)</f>
        <v>225</v>
      </c>
      <c r="K15" s="11">
        <f>J15/J$45</f>
        <v>0.023852298427045733</v>
      </c>
      <c r="L15" s="29"/>
    </row>
    <row r="16" spans="1:12" ht="12.75">
      <c r="A16" s="9" t="s">
        <v>5</v>
      </c>
      <c r="B16" s="39">
        <v>2</v>
      </c>
      <c r="C16" s="10" t="s">
        <v>4</v>
      </c>
      <c r="D16" s="39">
        <v>15</v>
      </c>
      <c r="E16" s="39"/>
      <c r="F16" s="39">
        <f>(D16*B16)</f>
        <v>30</v>
      </c>
      <c r="G16" s="40"/>
      <c r="H16" s="68">
        <f aca="true" t="shared" si="1" ref="H16:H40">SUM(E16:G16)</f>
        <v>30</v>
      </c>
      <c r="I16" s="76"/>
      <c r="J16" s="39">
        <f>(D16*B16)</f>
        <v>30</v>
      </c>
      <c r="K16" s="11">
        <f>J16/J$45</f>
        <v>0.003180306456939431</v>
      </c>
      <c r="L16" s="29"/>
    </row>
    <row r="17" spans="1:12" ht="12.75">
      <c r="A17" s="9" t="s">
        <v>6</v>
      </c>
      <c r="B17" s="40"/>
      <c r="C17" s="40"/>
      <c r="D17" s="39"/>
      <c r="E17" s="40"/>
      <c r="F17" s="40"/>
      <c r="G17" s="40"/>
      <c r="H17" s="68"/>
      <c r="I17" s="96"/>
      <c r="J17" s="40"/>
      <c r="K17" s="11"/>
      <c r="L17" s="29"/>
    </row>
    <row r="18" spans="1:12" ht="12.75">
      <c r="A18" s="9" t="s">
        <v>7</v>
      </c>
      <c r="B18" s="41">
        <v>1</v>
      </c>
      <c r="C18" s="10" t="s">
        <v>8</v>
      </c>
      <c r="D18" s="52">
        <v>2400</v>
      </c>
      <c r="E18" s="39">
        <f>(J18*0.015)</f>
        <v>36</v>
      </c>
      <c r="F18" s="39">
        <f>(J18*0.023)</f>
        <v>55.199999999999996</v>
      </c>
      <c r="G18" s="39">
        <f>(J18*0.051)</f>
        <v>122.39999999999999</v>
      </c>
      <c r="H18" s="68">
        <f t="shared" si="1"/>
        <v>213.59999999999997</v>
      </c>
      <c r="I18" s="97">
        <f>(J18*0.911)</f>
        <v>2186.4</v>
      </c>
      <c r="J18" s="98">
        <f>(D18*B18)</f>
        <v>2400</v>
      </c>
      <c r="K18" s="11">
        <f>J18/J$45</f>
        <v>0.25442451655515447</v>
      </c>
      <c r="L18" s="29"/>
    </row>
    <row r="19" spans="1:12" ht="12.75">
      <c r="A19" s="9" t="s">
        <v>9</v>
      </c>
      <c r="B19" s="40"/>
      <c r="C19" s="40"/>
      <c r="D19" s="52"/>
      <c r="E19" s="39"/>
      <c r="F19" s="39"/>
      <c r="G19" s="39"/>
      <c r="H19" s="68"/>
      <c r="I19" s="77"/>
      <c r="J19" s="39"/>
      <c r="K19" s="11"/>
      <c r="L19" s="29"/>
    </row>
    <row r="20" spans="1:12" ht="12.75">
      <c r="A20" s="9" t="s">
        <v>46</v>
      </c>
      <c r="B20" s="10">
        <v>0.9639</v>
      </c>
      <c r="C20" s="10" t="s">
        <v>10</v>
      </c>
      <c r="D20" s="52">
        <v>1854.25</v>
      </c>
      <c r="E20" s="39">
        <f>(J20*0.04)</f>
        <v>71.492463</v>
      </c>
      <c r="F20" s="39">
        <f>(J20*0.05)</f>
        <v>89.36557875</v>
      </c>
      <c r="G20" s="39">
        <f>(J20*0.07)</f>
        <v>125.11181025</v>
      </c>
      <c r="H20" s="68">
        <f t="shared" si="1"/>
        <v>285.969852</v>
      </c>
      <c r="I20" s="77">
        <f>(J20*0.84)</f>
        <v>1501.341723</v>
      </c>
      <c r="J20" s="39">
        <f>(D20*B20)</f>
        <v>1787.311575</v>
      </c>
      <c r="K20" s="11">
        <f>J20/J$45</f>
        <v>0.18947328475116948</v>
      </c>
      <c r="L20" s="29"/>
    </row>
    <row r="21" spans="1:12" ht="12.75">
      <c r="A21" s="9" t="s">
        <v>11</v>
      </c>
      <c r="B21" s="40"/>
      <c r="C21" s="40"/>
      <c r="D21" s="52"/>
      <c r="E21" s="39"/>
      <c r="F21" s="39"/>
      <c r="G21" s="39"/>
      <c r="H21" s="68"/>
      <c r="I21" s="77"/>
      <c r="J21" s="39"/>
      <c r="K21" s="11"/>
      <c r="L21" s="29"/>
    </row>
    <row r="22" spans="1:12" ht="12.75">
      <c r="A22" s="9" t="s">
        <v>12</v>
      </c>
      <c r="B22" s="10">
        <v>0.7524</v>
      </c>
      <c r="C22" s="10" t="s">
        <v>13</v>
      </c>
      <c r="D22" s="52">
        <v>573.33</v>
      </c>
      <c r="E22" s="39">
        <f>(J22*0.04)</f>
        <v>17.25493968</v>
      </c>
      <c r="F22" s="39">
        <f>(J22*0.047)</f>
        <v>20.274554124</v>
      </c>
      <c r="G22" s="39">
        <f>(J22*0.07)</f>
        <v>30.19614444</v>
      </c>
      <c r="H22" s="68">
        <f t="shared" si="1"/>
        <v>67.725638244</v>
      </c>
      <c r="I22" s="77">
        <f>(J22*0.843)</f>
        <v>363.64785375599996</v>
      </c>
      <c r="J22" s="39">
        <f>(D22*B22)</f>
        <v>431.373492</v>
      </c>
      <c r="K22" s="11">
        <f>J22/J$45</f>
        <v>0.04572999673200367</v>
      </c>
      <c r="L22" s="29"/>
    </row>
    <row r="23" spans="1:12" ht="5.25" customHeight="1">
      <c r="A23" s="12"/>
      <c r="B23" s="40"/>
      <c r="C23" s="40"/>
      <c r="D23" s="53"/>
      <c r="E23" s="39"/>
      <c r="F23" s="39"/>
      <c r="G23" s="39"/>
      <c r="H23" s="68"/>
      <c r="I23" s="77"/>
      <c r="J23" s="39"/>
      <c r="K23" s="11"/>
      <c r="L23" s="29"/>
    </row>
    <row r="24" spans="1:12" ht="12.75">
      <c r="A24" s="13" t="s">
        <v>14</v>
      </c>
      <c r="B24" s="40"/>
      <c r="C24" s="40"/>
      <c r="D24" s="53"/>
      <c r="E24" s="67">
        <f>SUM(E25:E27)</f>
        <v>850</v>
      </c>
      <c r="F24" s="60">
        <f aca="true" t="shared" si="2" ref="F24:K24">SUM(F25:F27)</f>
        <v>0</v>
      </c>
      <c r="G24" s="60">
        <f t="shared" si="2"/>
        <v>0</v>
      </c>
      <c r="H24" s="67">
        <f t="shared" si="2"/>
        <v>850</v>
      </c>
      <c r="I24" s="78">
        <f t="shared" si="2"/>
        <v>0</v>
      </c>
      <c r="J24" s="68">
        <f t="shared" si="2"/>
        <v>850</v>
      </c>
      <c r="K24" s="99">
        <f t="shared" si="2"/>
        <v>0.09010868294661722</v>
      </c>
      <c r="L24" s="29"/>
    </row>
    <row r="25" spans="1:12" ht="12.75">
      <c r="A25" s="9" t="s">
        <v>15</v>
      </c>
      <c r="B25" s="42">
        <v>1</v>
      </c>
      <c r="C25" s="10" t="s">
        <v>16</v>
      </c>
      <c r="D25" s="52">
        <v>350</v>
      </c>
      <c r="E25" s="39">
        <f>B25*D25</f>
        <v>350</v>
      </c>
      <c r="F25" s="39"/>
      <c r="G25" s="39"/>
      <c r="H25" s="68">
        <f t="shared" si="1"/>
        <v>350</v>
      </c>
      <c r="I25" s="77"/>
      <c r="J25" s="39">
        <f>B25*D25</f>
        <v>350</v>
      </c>
      <c r="K25" s="11">
        <f>J25/J$45</f>
        <v>0.03710357533096003</v>
      </c>
      <c r="L25" s="29"/>
    </row>
    <row r="26" spans="1:12" ht="12.75">
      <c r="A26" s="9" t="s">
        <v>17</v>
      </c>
      <c r="B26" s="42">
        <v>1</v>
      </c>
      <c r="C26" s="10" t="s">
        <v>16</v>
      </c>
      <c r="D26" s="52">
        <v>250</v>
      </c>
      <c r="E26" s="39">
        <f>B26*D26</f>
        <v>250</v>
      </c>
      <c r="F26" s="39"/>
      <c r="G26" s="39"/>
      <c r="H26" s="68">
        <f t="shared" si="1"/>
        <v>250</v>
      </c>
      <c r="I26" s="77"/>
      <c r="J26" s="39">
        <f>B26*D26</f>
        <v>250</v>
      </c>
      <c r="K26" s="11">
        <f>J26/J$45</f>
        <v>0.026502553807828594</v>
      </c>
      <c r="L26" s="29"/>
    </row>
    <row r="27" spans="1:12" ht="12.75">
      <c r="A27" s="9" t="s">
        <v>18</v>
      </c>
      <c r="B27" s="42">
        <v>1</v>
      </c>
      <c r="C27" s="10" t="s">
        <v>16</v>
      </c>
      <c r="D27" s="52">
        <v>250</v>
      </c>
      <c r="E27" s="39">
        <f>B27*D27</f>
        <v>250</v>
      </c>
      <c r="F27" s="39"/>
      <c r="G27" s="39"/>
      <c r="H27" s="68">
        <f t="shared" si="1"/>
        <v>250</v>
      </c>
      <c r="I27" s="77"/>
      <c r="J27" s="39">
        <f>B27*D27</f>
        <v>250</v>
      </c>
      <c r="K27" s="11">
        <f>J27/J$45</f>
        <v>0.026502553807828594</v>
      </c>
      <c r="L27" s="29"/>
    </row>
    <row r="28" spans="1:12" ht="3.75" customHeight="1">
      <c r="A28" s="12"/>
      <c r="B28" s="40"/>
      <c r="C28" s="40"/>
      <c r="D28" s="53"/>
      <c r="E28" s="39"/>
      <c r="F28" s="39"/>
      <c r="G28" s="39"/>
      <c r="H28" s="68"/>
      <c r="I28" s="77"/>
      <c r="J28" s="39"/>
      <c r="K28" s="11"/>
      <c r="L28" s="29"/>
    </row>
    <row r="29" spans="1:12" ht="12.75">
      <c r="A29" s="13" t="s">
        <v>19</v>
      </c>
      <c r="B29" s="40"/>
      <c r="C29" s="40"/>
      <c r="D29" s="53"/>
      <c r="E29" s="67">
        <f>SUM(E30:E40)</f>
        <v>940.71185</v>
      </c>
      <c r="F29" s="67">
        <f aca="true" t="shared" si="3" ref="F29:K29">SUM(F30:F40)</f>
        <v>491.3486500000001</v>
      </c>
      <c r="G29" s="67">
        <f t="shared" si="3"/>
        <v>74.2222</v>
      </c>
      <c r="H29" s="71">
        <f t="shared" si="3"/>
        <v>1506.2827000000002</v>
      </c>
      <c r="I29" s="78">
        <f t="shared" si="3"/>
        <v>1333.0798</v>
      </c>
      <c r="J29" s="78">
        <f t="shared" si="3"/>
        <v>2839.3625</v>
      </c>
      <c r="K29" s="99">
        <f t="shared" si="3"/>
        <v>0.3010014297447229</v>
      </c>
      <c r="L29" s="29"/>
    </row>
    <row r="30" spans="1:12" ht="12.75">
      <c r="A30" s="9" t="s">
        <v>20</v>
      </c>
      <c r="B30" s="42">
        <v>0.126</v>
      </c>
      <c r="C30" s="10" t="s">
        <v>21</v>
      </c>
      <c r="D30" s="54">
        <v>650</v>
      </c>
      <c r="E30" s="39">
        <f>(D30*B30)</f>
        <v>81.9</v>
      </c>
      <c r="F30" s="39"/>
      <c r="G30" s="39"/>
      <c r="H30" s="68">
        <f t="shared" si="1"/>
        <v>81.9</v>
      </c>
      <c r="I30" s="77"/>
      <c r="J30" s="39">
        <f aca="true" t="shared" si="4" ref="J30:J40">(D30*B30)</f>
        <v>81.9</v>
      </c>
      <c r="K30" s="11">
        <f aca="true" t="shared" si="5" ref="K30:K40">J30/J$45</f>
        <v>0.008682236627444648</v>
      </c>
      <c r="L30" s="29"/>
    </row>
    <row r="31" spans="1:12" ht="12.75">
      <c r="A31" s="9" t="s">
        <v>22</v>
      </c>
      <c r="B31" s="42">
        <v>0.25</v>
      </c>
      <c r="C31" s="10" t="s">
        <v>21</v>
      </c>
      <c r="D31" s="54">
        <f>+D30</f>
        <v>650</v>
      </c>
      <c r="E31" s="39">
        <f>(D31*B31)</f>
        <v>162.5</v>
      </c>
      <c r="F31" s="39"/>
      <c r="G31" s="39"/>
      <c r="H31" s="68">
        <f t="shared" si="1"/>
        <v>162.5</v>
      </c>
      <c r="I31" s="77"/>
      <c r="J31" s="39">
        <f t="shared" si="4"/>
        <v>162.5</v>
      </c>
      <c r="K31" s="11">
        <f t="shared" si="5"/>
        <v>0.017226659975088585</v>
      </c>
      <c r="L31" s="29"/>
    </row>
    <row r="32" spans="1:12" ht="12.75">
      <c r="A32" s="9" t="s">
        <v>23</v>
      </c>
      <c r="B32" s="42">
        <v>0.5</v>
      </c>
      <c r="C32" s="10" t="s">
        <v>21</v>
      </c>
      <c r="D32" s="54">
        <f aca="true" t="shared" si="6" ref="D32:D40">+D31</f>
        <v>650</v>
      </c>
      <c r="E32" s="39">
        <f>(D32*B32)</f>
        <v>325</v>
      </c>
      <c r="F32" s="39"/>
      <c r="G32" s="39"/>
      <c r="H32" s="68">
        <f t="shared" si="1"/>
        <v>325</v>
      </c>
      <c r="I32" s="77"/>
      <c r="J32" s="39">
        <f t="shared" si="4"/>
        <v>325</v>
      </c>
      <c r="K32" s="11">
        <f t="shared" si="5"/>
        <v>0.03445331995017717</v>
      </c>
      <c r="L32" s="29"/>
    </row>
    <row r="33" spans="1:12" ht="12.75">
      <c r="A33" s="9" t="s">
        <v>24</v>
      </c>
      <c r="B33" s="42">
        <v>0.062</v>
      </c>
      <c r="C33" s="10" t="s">
        <v>21</v>
      </c>
      <c r="D33" s="54">
        <f t="shared" si="6"/>
        <v>650</v>
      </c>
      <c r="E33" s="39"/>
      <c r="F33" s="39">
        <f>(D33*B33)</f>
        <v>40.3</v>
      </c>
      <c r="G33" s="39"/>
      <c r="H33" s="68">
        <f t="shared" si="1"/>
        <v>40.3</v>
      </c>
      <c r="I33" s="77"/>
      <c r="J33" s="39">
        <f t="shared" si="4"/>
        <v>40.3</v>
      </c>
      <c r="K33" s="11">
        <f t="shared" si="5"/>
        <v>0.004272211673821968</v>
      </c>
      <c r="L33" s="29"/>
    </row>
    <row r="34" spans="1:12" ht="12.75">
      <c r="A34" s="9" t="s">
        <v>25</v>
      </c>
      <c r="B34" s="42">
        <v>0.742</v>
      </c>
      <c r="C34" s="10" t="s">
        <v>21</v>
      </c>
      <c r="D34" s="54">
        <f t="shared" si="6"/>
        <v>650</v>
      </c>
      <c r="E34" s="39">
        <f>(J34*0.014)</f>
        <v>6.7522</v>
      </c>
      <c r="F34" s="39">
        <f>(J34*0.024)</f>
        <v>11.5752</v>
      </c>
      <c r="G34" s="39">
        <f>(J34*0.051)</f>
        <v>24.5973</v>
      </c>
      <c r="H34" s="68">
        <f t="shared" si="1"/>
        <v>42.9247</v>
      </c>
      <c r="I34" s="77">
        <f>(J34*0.911)</f>
        <v>439.37530000000004</v>
      </c>
      <c r="J34" s="39">
        <f t="shared" si="4"/>
        <v>482.3</v>
      </c>
      <c r="K34" s="11">
        <f t="shared" si="5"/>
        <v>0.051128726806062924</v>
      </c>
      <c r="L34" s="29"/>
    </row>
    <row r="35" spans="1:12" ht="12.75">
      <c r="A35" s="9" t="s">
        <v>26</v>
      </c>
      <c r="B35" s="42">
        <v>0.255</v>
      </c>
      <c r="C35" s="10" t="s">
        <v>21</v>
      </c>
      <c r="D35" s="54">
        <f t="shared" si="6"/>
        <v>650</v>
      </c>
      <c r="E35" s="39">
        <f>(J35*0.041)</f>
        <v>6.79575</v>
      </c>
      <c r="F35" s="39">
        <f>(J35*0.061)</f>
        <v>10.11075</v>
      </c>
      <c r="G35" s="39">
        <f>(J35*0.082)</f>
        <v>13.5915</v>
      </c>
      <c r="H35" s="68">
        <f t="shared" si="1"/>
        <v>30.498</v>
      </c>
      <c r="I35" s="77">
        <f>(J35*0.816)</f>
        <v>135.25199999999998</v>
      </c>
      <c r="J35" s="39">
        <f t="shared" si="4"/>
        <v>165.75</v>
      </c>
      <c r="K35" s="11">
        <f t="shared" si="5"/>
        <v>0.01757119317459036</v>
      </c>
      <c r="L35" s="29"/>
    </row>
    <row r="36" spans="1:12" ht="12.75">
      <c r="A36" s="9" t="s">
        <v>27</v>
      </c>
      <c r="B36" s="42">
        <v>0.278</v>
      </c>
      <c r="C36" s="10" t="s">
        <v>21</v>
      </c>
      <c r="D36" s="54">
        <f t="shared" si="6"/>
        <v>650</v>
      </c>
      <c r="E36" s="39">
        <f>(J36*0.044)</f>
        <v>7.9508</v>
      </c>
      <c r="F36" s="39">
        <f>(J36*0.044)</f>
        <v>7.9508</v>
      </c>
      <c r="G36" s="39">
        <f>(J36*0.087)</f>
        <v>15.7209</v>
      </c>
      <c r="H36" s="68">
        <f t="shared" si="1"/>
        <v>31.622500000000002</v>
      </c>
      <c r="I36" s="77">
        <f>(J36*0.825)</f>
        <v>149.07750000000001</v>
      </c>
      <c r="J36" s="39">
        <f t="shared" si="4"/>
        <v>180.70000000000002</v>
      </c>
      <c r="K36" s="11">
        <f t="shared" si="5"/>
        <v>0.01915604589229851</v>
      </c>
      <c r="L36" s="29"/>
    </row>
    <row r="37" spans="1:12" ht="12.75">
      <c r="A37" s="9" t="s">
        <v>28</v>
      </c>
      <c r="B37" s="42">
        <f>2.5/8</f>
        <v>0.3125</v>
      </c>
      <c r="C37" s="10" t="s">
        <v>21</v>
      </c>
      <c r="D37" s="54">
        <f t="shared" si="6"/>
        <v>650</v>
      </c>
      <c r="E37" s="39">
        <f>(J37*0.1)</f>
        <v>20.3125</v>
      </c>
      <c r="F37" s="39">
        <f>(J37*0.1)</f>
        <v>20.3125</v>
      </c>
      <c r="G37" s="39">
        <f>(J37*0.1)</f>
        <v>20.3125</v>
      </c>
      <c r="H37" s="68">
        <f t="shared" si="1"/>
        <v>60.9375</v>
      </c>
      <c r="I37" s="77">
        <f>(J37*0.7)</f>
        <v>142.1875</v>
      </c>
      <c r="J37" s="39">
        <f t="shared" si="4"/>
        <v>203.125</v>
      </c>
      <c r="K37" s="11">
        <f t="shared" si="5"/>
        <v>0.02153332496886073</v>
      </c>
      <c r="L37" s="29"/>
    </row>
    <row r="38" spans="1:12" ht="12.75">
      <c r="A38" s="9" t="s">
        <v>29</v>
      </c>
      <c r="B38" s="42">
        <v>0.562</v>
      </c>
      <c r="C38" s="10" t="s">
        <v>21</v>
      </c>
      <c r="D38" s="54">
        <f t="shared" si="6"/>
        <v>650</v>
      </c>
      <c r="E38" s="39">
        <f>(J38*0.451)</f>
        <v>164.7503</v>
      </c>
      <c r="F38" s="39">
        <f>(J38*0.549)</f>
        <v>200.54970000000003</v>
      </c>
      <c r="G38" s="39"/>
      <c r="H38" s="68">
        <f t="shared" si="1"/>
        <v>365.30000000000007</v>
      </c>
      <c r="I38" s="77"/>
      <c r="J38" s="39">
        <f t="shared" si="4"/>
        <v>365.3</v>
      </c>
      <c r="K38" s="11">
        <f t="shared" si="5"/>
        <v>0.03872553162399914</v>
      </c>
      <c r="L38" s="29"/>
    </row>
    <row r="39" spans="1:12" ht="12.75">
      <c r="A39" s="9" t="s">
        <v>30</v>
      </c>
      <c r="B39" s="42">
        <v>0.562</v>
      </c>
      <c r="C39" s="10" t="s">
        <v>21</v>
      </c>
      <c r="D39" s="54">
        <f t="shared" si="6"/>
        <v>650</v>
      </c>
      <c r="E39" s="39">
        <f>(J39*0.451)</f>
        <v>164.7503</v>
      </c>
      <c r="F39" s="39">
        <f>(J39*0.549)</f>
        <v>200.54970000000003</v>
      </c>
      <c r="G39" s="39"/>
      <c r="H39" s="68">
        <f t="shared" si="1"/>
        <v>365.30000000000007</v>
      </c>
      <c r="I39" s="77"/>
      <c r="J39" s="39">
        <f t="shared" si="4"/>
        <v>365.3</v>
      </c>
      <c r="K39" s="11">
        <f t="shared" si="5"/>
        <v>0.03872553162399914</v>
      </c>
      <c r="L39" s="29"/>
    </row>
    <row r="40" spans="1:12" ht="13.5" thickBot="1">
      <c r="A40" s="14" t="s">
        <v>31</v>
      </c>
      <c r="B40" s="43">
        <f>5.75/8</f>
        <v>0.71875</v>
      </c>
      <c r="C40" s="15" t="s">
        <v>21</v>
      </c>
      <c r="D40" s="55">
        <f t="shared" si="6"/>
        <v>650</v>
      </c>
      <c r="E40" s="61"/>
      <c r="F40" s="61"/>
      <c r="G40" s="61"/>
      <c r="H40" s="69">
        <f t="shared" si="1"/>
        <v>0</v>
      </c>
      <c r="I40" s="79">
        <f>(D40*B40)</f>
        <v>467.1875</v>
      </c>
      <c r="J40" s="61">
        <f t="shared" si="4"/>
        <v>467.1875</v>
      </c>
      <c r="K40" s="16">
        <f t="shared" si="5"/>
        <v>0.04952664742837968</v>
      </c>
      <c r="L40" s="29"/>
    </row>
    <row r="41" spans="1:12" ht="8.25" customHeight="1" thickBot="1">
      <c r="A41" s="34"/>
      <c r="B41" s="44"/>
      <c r="C41" s="35"/>
      <c r="D41" s="56"/>
      <c r="E41" s="62"/>
      <c r="F41" s="62"/>
      <c r="G41" s="62"/>
      <c r="H41" s="70"/>
      <c r="I41" s="80"/>
      <c r="J41" s="62"/>
      <c r="K41" s="36"/>
      <c r="L41" s="33"/>
    </row>
    <row r="42" spans="1:19" s="2" customFormat="1" ht="13.5" customHeight="1">
      <c r="A42" s="31" t="s">
        <v>32</v>
      </c>
      <c r="B42" s="45"/>
      <c r="C42" s="45"/>
      <c r="D42" s="45"/>
      <c r="E42" s="63">
        <f aca="true" t="shared" si="7" ref="E42:J42">E14+E24+E29</f>
        <v>2140.45925268</v>
      </c>
      <c r="F42" s="63">
        <f t="shared" si="7"/>
        <v>686.188782874</v>
      </c>
      <c r="G42" s="63">
        <f t="shared" si="7"/>
        <v>351.93015469</v>
      </c>
      <c r="H42" s="63">
        <f t="shared" si="7"/>
        <v>3178.5781902440003</v>
      </c>
      <c r="I42" s="81">
        <f t="shared" si="7"/>
        <v>5384.469376756</v>
      </c>
      <c r="J42" s="91">
        <f t="shared" si="7"/>
        <v>8563.047567</v>
      </c>
      <c r="K42" s="32">
        <f>+K29+K24+K14</f>
        <v>0.9077705156136529</v>
      </c>
      <c r="L42" s="21"/>
      <c r="M42" s="27"/>
      <c r="N42" s="1"/>
      <c r="O42" s="1"/>
      <c r="P42" s="1"/>
      <c r="Q42" s="1"/>
      <c r="R42" s="1"/>
      <c r="S42" s="1"/>
    </row>
    <row r="43" spans="1:19" s="2" customFormat="1" ht="15.75" customHeight="1">
      <c r="A43" s="17" t="s">
        <v>33</v>
      </c>
      <c r="B43" s="45"/>
      <c r="C43" s="45"/>
      <c r="D43" s="45"/>
      <c r="E43" s="64">
        <f aca="true" t="shared" si="8" ref="E43:J43">(E42*0.02)</f>
        <v>42.809185053600004</v>
      </c>
      <c r="F43" s="64">
        <f t="shared" si="8"/>
        <v>13.723775657480001</v>
      </c>
      <c r="G43" s="64">
        <f t="shared" si="8"/>
        <v>7.0386030938</v>
      </c>
      <c r="H43" s="64">
        <f t="shared" si="8"/>
        <v>63.57156380488001</v>
      </c>
      <c r="I43" s="82">
        <f t="shared" si="8"/>
        <v>107.68938753512</v>
      </c>
      <c r="J43" s="92">
        <f t="shared" si="8"/>
        <v>171.26095134</v>
      </c>
      <c r="K43" s="18">
        <f>J43/J$45</f>
        <v>0.018155410312273055</v>
      </c>
      <c r="L43" s="30">
        <f>+J43+J44</f>
        <v>870.0056328072001</v>
      </c>
      <c r="M43" s="27"/>
      <c r="N43" s="1"/>
      <c r="O43" s="1"/>
      <c r="P43" s="1"/>
      <c r="Q43" s="1"/>
      <c r="R43" s="1"/>
      <c r="S43" s="1"/>
    </row>
    <row r="44" spans="1:19" s="2" customFormat="1" ht="13.5" customHeight="1" thickBot="1">
      <c r="A44" s="19" t="s">
        <v>45</v>
      </c>
      <c r="B44" s="46"/>
      <c r="C44" s="46"/>
      <c r="D44" s="46"/>
      <c r="E44" s="65">
        <f aca="true" t="shared" si="9" ref="E44:J44">SUM(E42:E43)*0.08</f>
        <v>174.661475018688</v>
      </c>
      <c r="F44" s="65">
        <f t="shared" si="9"/>
        <v>55.993004682518404</v>
      </c>
      <c r="G44" s="65">
        <f t="shared" si="9"/>
        <v>28.717500622704</v>
      </c>
      <c r="H44" s="65">
        <f t="shared" si="9"/>
        <v>259.3719803239104</v>
      </c>
      <c r="I44" s="83">
        <f t="shared" si="9"/>
        <v>439.3727011432896</v>
      </c>
      <c r="J44" s="93">
        <f t="shared" si="9"/>
        <v>698.7446814672</v>
      </c>
      <c r="K44" s="20">
        <f>J44/J$45</f>
        <v>0.07407407407407408</v>
      </c>
      <c r="L44" s="21"/>
      <c r="M44" s="27"/>
      <c r="N44" s="1"/>
      <c r="O44" s="1"/>
      <c r="P44" s="1"/>
      <c r="Q44" s="1"/>
      <c r="R44" s="1"/>
      <c r="S44" s="1"/>
    </row>
    <row r="45" spans="1:19" s="2" customFormat="1" ht="15.75" customHeight="1" thickBot="1">
      <c r="A45" s="22" t="s">
        <v>34</v>
      </c>
      <c r="B45" s="47"/>
      <c r="C45" s="47"/>
      <c r="D45" s="47"/>
      <c r="E45" s="66">
        <f aca="true" t="shared" si="10" ref="E45:K45">SUM(E42:E44)</f>
        <v>2357.929912752288</v>
      </c>
      <c r="F45" s="66">
        <f t="shared" si="10"/>
        <v>755.9055632139984</v>
      </c>
      <c r="G45" s="66">
        <f t="shared" si="10"/>
        <v>387.686258406504</v>
      </c>
      <c r="H45" s="66">
        <f t="shared" si="10"/>
        <v>3501.521734372791</v>
      </c>
      <c r="I45" s="84">
        <f t="shared" si="10"/>
        <v>5931.531465434409</v>
      </c>
      <c r="J45" s="94">
        <f>SUM(J42:J44)</f>
        <v>9433.0531998072</v>
      </c>
      <c r="K45" s="23">
        <f t="shared" si="10"/>
        <v>1</v>
      </c>
      <c r="L45" s="21"/>
      <c r="M45" s="27"/>
      <c r="N45" s="1"/>
      <c r="O45" s="1"/>
      <c r="P45" s="1"/>
      <c r="Q45" s="1"/>
      <c r="R45" s="1"/>
      <c r="S45" s="1"/>
    </row>
    <row r="46" spans="1:12" ht="15" customHeight="1">
      <c r="A46" s="26" t="s">
        <v>40</v>
      </c>
      <c r="B46" s="48"/>
      <c r="C46" s="48"/>
      <c r="D46" s="48"/>
      <c r="E46" s="48"/>
      <c r="F46" s="48"/>
      <c r="G46" s="48"/>
      <c r="H46" s="48"/>
      <c r="I46" s="85"/>
      <c r="J46" s="95">
        <v>175</v>
      </c>
      <c r="K46" s="21"/>
      <c r="L46" s="6"/>
    </row>
    <row r="47" spans="1:12" ht="14.25" customHeight="1">
      <c r="A47" s="118" t="s">
        <v>47</v>
      </c>
      <c r="B47" s="118"/>
      <c r="C47" s="118"/>
      <c r="D47" s="118"/>
      <c r="E47" s="118"/>
      <c r="F47" s="118"/>
      <c r="G47" s="118"/>
      <c r="H47" s="118"/>
      <c r="I47" s="118"/>
      <c r="J47" s="118"/>
      <c r="K47" s="21"/>
      <c r="L47" s="6"/>
    </row>
    <row r="48" spans="1:13" s="3" customFormat="1" ht="17.25" customHeight="1" hidden="1">
      <c r="A48" s="116"/>
      <c r="B48" s="116"/>
      <c r="C48" s="116"/>
      <c r="D48" s="116"/>
      <c r="E48" s="116"/>
      <c r="F48" s="116"/>
      <c r="G48" s="116"/>
      <c r="H48" s="116"/>
      <c r="I48" s="116"/>
      <c r="J48" s="116"/>
      <c r="K48" s="21"/>
      <c r="L48" s="21"/>
      <c r="M48" s="4"/>
    </row>
    <row r="49" spans="1:13" s="3" customFormat="1" ht="18" customHeight="1" hidden="1">
      <c r="A49" s="117"/>
      <c r="B49" s="117"/>
      <c r="C49" s="117"/>
      <c r="D49" s="117"/>
      <c r="E49" s="117"/>
      <c r="F49" s="117"/>
      <c r="G49" s="117"/>
      <c r="H49" s="117"/>
      <c r="I49" s="117"/>
      <c r="J49" s="117"/>
      <c r="K49" s="21"/>
      <c r="L49" s="21"/>
      <c r="M49" s="4"/>
    </row>
    <row r="50" spans="1:13" s="3" customFormat="1" ht="12.75" customHeight="1" hidden="1">
      <c r="A50" s="21"/>
      <c r="B50" s="48"/>
      <c r="C50" s="51"/>
      <c r="D50" s="57"/>
      <c r="E50" s="48"/>
      <c r="F50" s="48"/>
      <c r="G50" s="51"/>
      <c r="H50" s="57"/>
      <c r="I50" s="86"/>
      <c r="J50" s="48"/>
      <c r="K50" s="21"/>
      <c r="L50" s="21"/>
      <c r="M50" s="4"/>
    </row>
    <row r="51" spans="1:13" s="3" customFormat="1" ht="13.5">
      <c r="A51" s="21" t="s">
        <v>52</v>
      </c>
      <c r="B51" s="48"/>
      <c r="C51" s="48"/>
      <c r="D51" s="48"/>
      <c r="E51" s="48"/>
      <c r="F51" s="48"/>
      <c r="G51" s="48"/>
      <c r="H51" s="48"/>
      <c r="I51" s="85"/>
      <c r="J51" s="48"/>
      <c r="K51" s="21"/>
      <c r="L51" s="21"/>
      <c r="M51" s="4"/>
    </row>
    <row r="52" spans="1:13" s="3" customFormat="1" ht="13.5">
      <c r="A52" s="21" t="s">
        <v>41</v>
      </c>
      <c r="B52" s="48"/>
      <c r="C52" s="48"/>
      <c r="D52" s="48"/>
      <c r="E52" s="48"/>
      <c r="F52" s="48"/>
      <c r="G52" s="48"/>
      <c r="H52" s="48"/>
      <c r="I52" s="85"/>
      <c r="J52" s="48"/>
      <c r="K52" s="21"/>
      <c r="L52" s="21"/>
      <c r="M52" s="4"/>
    </row>
    <row r="53" spans="1:11" ht="18" customHeight="1">
      <c r="A53" s="112" t="s">
        <v>51</v>
      </c>
      <c r="B53" s="112"/>
      <c r="C53" s="112"/>
      <c r="D53" s="112"/>
      <c r="E53" s="112"/>
      <c r="F53" s="112"/>
      <c r="G53" s="112"/>
      <c r="H53" s="112"/>
      <c r="I53" s="112"/>
      <c r="J53" s="112"/>
      <c r="K53" s="112"/>
    </row>
    <row r="54" spans="1:11" ht="8.25" customHeight="1">
      <c r="A54" s="5"/>
      <c r="B54" s="49"/>
      <c r="C54" s="49"/>
      <c r="D54" s="49"/>
      <c r="E54" s="49"/>
      <c r="F54" s="49"/>
      <c r="G54" s="49"/>
      <c r="H54" s="49"/>
      <c r="I54" s="87"/>
      <c r="J54" s="49"/>
      <c r="K54" s="4"/>
    </row>
    <row r="55" spans="1:11" ht="11.25" customHeight="1">
      <c r="A55" s="107"/>
      <c r="B55" s="107"/>
      <c r="C55" s="107"/>
      <c r="D55" s="107"/>
      <c r="E55" s="107"/>
      <c r="F55" s="107"/>
      <c r="G55" s="107"/>
      <c r="H55" s="107"/>
      <c r="I55" s="107"/>
      <c r="J55" s="107"/>
      <c r="K55" s="107"/>
    </row>
    <row r="56" spans="1:11" s="27" customFormat="1" ht="13.5">
      <c r="A56" s="4"/>
      <c r="B56" s="49"/>
      <c r="C56" s="49"/>
      <c r="D56" s="49"/>
      <c r="E56" s="49"/>
      <c r="F56" s="49"/>
      <c r="G56" s="49"/>
      <c r="H56" s="49"/>
      <c r="I56" s="87"/>
      <c r="J56" s="49"/>
      <c r="K56" s="4"/>
    </row>
    <row r="57" spans="1:11" s="27" customFormat="1" ht="13.5">
      <c r="A57" s="4"/>
      <c r="B57" s="49"/>
      <c r="C57" s="49"/>
      <c r="D57" s="58"/>
      <c r="E57" s="58"/>
      <c r="F57" s="58"/>
      <c r="G57" s="58"/>
      <c r="H57" s="58"/>
      <c r="I57" s="88"/>
      <c r="J57" s="58"/>
      <c r="K57" s="4"/>
    </row>
    <row r="58" spans="1:11" s="27" customFormat="1" ht="13.5">
      <c r="A58" s="4"/>
      <c r="B58" s="49"/>
      <c r="C58" s="49"/>
      <c r="D58" s="58"/>
      <c r="E58" s="58"/>
      <c r="F58" s="58"/>
      <c r="G58" s="58"/>
      <c r="H58" s="58"/>
      <c r="I58" s="88"/>
      <c r="J58" s="58"/>
      <c r="K58" s="4"/>
    </row>
    <row r="59" spans="1:11" s="27" customFormat="1" ht="13.5">
      <c r="A59" s="4"/>
      <c r="B59" s="49"/>
      <c r="C59" s="49"/>
      <c r="D59" s="58"/>
      <c r="E59" s="58"/>
      <c r="F59" s="58"/>
      <c r="G59" s="58"/>
      <c r="H59" s="58"/>
      <c r="I59" s="88"/>
      <c r="J59" s="58"/>
      <c r="K59" s="4"/>
    </row>
    <row r="60" spans="4:10" ht="13.5">
      <c r="D60" s="59"/>
      <c r="E60" s="59"/>
      <c r="F60" s="59"/>
      <c r="G60" s="59"/>
      <c r="H60" s="59"/>
      <c r="I60" s="89"/>
      <c r="J60" s="59"/>
    </row>
    <row r="61" spans="4:10" ht="13.5">
      <c r="D61" s="59"/>
      <c r="E61" s="59"/>
      <c r="F61" s="59"/>
      <c r="G61" s="59"/>
      <c r="H61" s="59"/>
      <c r="I61" s="89"/>
      <c r="J61" s="59"/>
    </row>
    <row r="62" spans="4:10" ht="13.5">
      <c r="D62" s="59"/>
      <c r="E62" s="59"/>
      <c r="F62" s="59"/>
      <c r="G62" s="59"/>
      <c r="H62" s="59"/>
      <c r="I62" s="89"/>
      <c r="J62" s="59"/>
    </row>
    <row r="63" spans="2:10" ht="13.5">
      <c r="B63" s="50"/>
      <c r="D63" s="59"/>
      <c r="E63" s="59"/>
      <c r="F63" s="59"/>
      <c r="G63" s="59"/>
      <c r="H63" s="59"/>
      <c r="I63" s="89"/>
      <c r="J63" s="59"/>
    </row>
    <row r="64" spans="2:10" ht="13.5">
      <c r="B64" s="50"/>
      <c r="D64" s="59"/>
      <c r="E64" s="59"/>
      <c r="F64" s="59"/>
      <c r="G64" s="59"/>
      <c r="H64" s="59"/>
      <c r="I64" s="89"/>
      <c r="J64" s="59"/>
    </row>
    <row r="65" spans="2:10" ht="13.5">
      <c r="B65" s="50"/>
      <c r="D65" s="59"/>
      <c r="E65" s="59"/>
      <c r="F65" s="59"/>
      <c r="G65" s="59"/>
      <c r="H65" s="59"/>
      <c r="I65" s="89"/>
      <c r="J65" s="59"/>
    </row>
    <row r="66" spans="4:10" ht="13.5">
      <c r="D66" s="59"/>
      <c r="E66" s="59"/>
      <c r="F66" s="59"/>
      <c r="G66" s="59"/>
      <c r="H66" s="59"/>
      <c r="I66" s="89"/>
      <c r="J66" s="59"/>
    </row>
    <row r="67" spans="4:10" ht="13.5">
      <c r="D67" s="59"/>
      <c r="E67" s="59"/>
      <c r="F67" s="59"/>
      <c r="G67" s="59"/>
      <c r="H67" s="59"/>
      <c r="I67" s="89"/>
      <c r="J67" s="59"/>
    </row>
    <row r="68" spans="2:10" ht="13.5">
      <c r="B68" s="50"/>
      <c r="D68" s="59"/>
      <c r="E68" s="59"/>
      <c r="F68" s="59"/>
      <c r="G68" s="59"/>
      <c r="H68" s="59"/>
      <c r="I68" s="89"/>
      <c r="J68" s="59"/>
    </row>
    <row r="69" spans="2:10" ht="13.5">
      <c r="B69" s="50"/>
      <c r="D69" s="59"/>
      <c r="E69" s="59"/>
      <c r="F69" s="59"/>
      <c r="G69" s="59"/>
      <c r="H69" s="59"/>
      <c r="I69" s="89"/>
      <c r="J69" s="59"/>
    </row>
    <row r="70" spans="2:10" ht="13.5">
      <c r="B70" s="50"/>
      <c r="D70" s="59"/>
      <c r="E70" s="59"/>
      <c r="F70" s="59"/>
      <c r="G70" s="59"/>
      <c r="H70" s="59"/>
      <c r="I70" s="89"/>
      <c r="J70" s="59"/>
    </row>
    <row r="71" spans="2:10" ht="13.5">
      <c r="B71" s="50"/>
      <c r="D71" s="59"/>
      <c r="E71" s="59"/>
      <c r="F71" s="59"/>
      <c r="G71" s="59"/>
      <c r="H71" s="59"/>
      <c r="I71" s="89"/>
      <c r="J71" s="59"/>
    </row>
    <row r="72" spans="2:10" ht="13.5">
      <c r="B72" s="50"/>
      <c r="D72" s="59"/>
      <c r="E72" s="59"/>
      <c r="F72" s="59"/>
      <c r="G72" s="59"/>
      <c r="H72" s="59"/>
      <c r="I72" s="89"/>
      <c r="J72" s="59"/>
    </row>
    <row r="73" spans="2:10" ht="13.5">
      <c r="B73" s="50"/>
      <c r="D73" s="59"/>
      <c r="E73" s="59"/>
      <c r="F73" s="59"/>
      <c r="G73" s="59"/>
      <c r="H73" s="59"/>
      <c r="I73" s="89"/>
      <c r="J73" s="59"/>
    </row>
    <row r="74" spans="2:10" ht="13.5">
      <c r="B74" s="50"/>
      <c r="D74" s="59"/>
      <c r="E74" s="59"/>
      <c r="F74" s="59"/>
      <c r="G74" s="59"/>
      <c r="H74" s="59"/>
      <c r="I74" s="89"/>
      <c r="J74" s="59"/>
    </row>
    <row r="75" spans="2:10" ht="13.5">
      <c r="B75" s="50"/>
      <c r="D75" s="59"/>
      <c r="E75" s="59"/>
      <c r="F75" s="59"/>
      <c r="G75" s="59"/>
      <c r="H75" s="59"/>
      <c r="I75" s="89"/>
      <c r="J75" s="59"/>
    </row>
    <row r="76" spans="2:10" ht="13.5">
      <c r="B76" s="50"/>
      <c r="D76" s="59"/>
      <c r="E76" s="59"/>
      <c r="F76" s="59"/>
      <c r="G76" s="59"/>
      <c r="H76" s="59"/>
      <c r="I76" s="89"/>
      <c r="J76" s="59"/>
    </row>
    <row r="77" spans="2:10" ht="13.5">
      <c r="B77" s="50"/>
      <c r="D77" s="59"/>
      <c r="E77" s="59"/>
      <c r="F77" s="59"/>
      <c r="G77" s="59"/>
      <c r="H77" s="59"/>
      <c r="I77" s="89"/>
      <c r="J77" s="59"/>
    </row>
  </sheetData>
  <sheetProtection/>
  <mergeCells count="18">
    <mergeCell ref="I11:I13"/>
    <mergeCell ref="J11:J13"/>
    <mergeCell ref="B11:B13"/>
    <mergeCell ref="C11:C13"/>
    <mergeCell ref="D11:D13"/>
    <mergeCell ref="F11:F13"/>
    <mergeCell ref="G11:G13"/>
    <mergeCell ref="E11:E13"/>
    <mergeCell ref="A5:K6"/>
    <mergeCell ref="A4:K4"/>
    <mergeCell ref="A55:K55"/>
    <mergeCell ref="K11:K13"/>
    <mergeCell ref="A7:K7"/>
    <mergeCell ref="A53:K53"/>
    <mergeCell ref="H11:H13"/>
    <mergeCell ref="A48:J48"/>
    <mergeCell ref="A49:J49"/>
    <mergeCell ref="A47:J47"/>
  </mergeCells>
  <printOptions/>
  <pageMargins left="0.9448818897637796" right="0.1968503937007874" top="0.3937007874015748" bottom="0.6299212598425197" header="0.31496062992125984" footer="0.31496062992125984"/>
  <pageSetup horizontalDpi="300" verticalDpi="300" orientation="landscape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mary</dc:creator>
  <cp:keywords/>
  <dc:description/>
  <cp:lastModifiedBy>Ysabel Calderon</cp:lastModifiedBy>
  <cp:lastPrinted>2017-04-25T15:55:03Z</cp:lastPrinted>
  <dcterms:created xsi:type="dcterms:W3CDTF">2007-12-07T16:21:30Z</dcterms:created>
  <dcterms:modified xsi:type="dcterms:W3CDTF">2024-05-17T15:51:12Z</dcterms:modified>
  <cp:category/>
  <cp:version/>
  <cp:contentType/>
  <cp:contentStatus/>
</cp:coreProperties>
</file>