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04" activeTab="0"/>
  </bookViews>
  <sheets>
    <sheet name="Hoja1" sheetId="1" r:id="rId1"/>
    <sheet name="Hoja2" sheetId="2" state="hidden" r:id="rId2"/>
    <sheet name="Hoja3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<sst xmlns="http://schemas.openxmlformats.org/spreadsheetml/2006/main" count="157" uniqueCount="112">
  <si>
    <t>AREA APLIC....</t>
  </si>
  <si>
    <t>ENTREVISTAS...</t>
  </si>
  <si>
    <t>RENDIMIENTO</t>
  </si>
  <si>
    <t xml:space="preserve"> METODO SIEMBRA.</t>
  </si>
  <si>
    <t>Directo</t>
  </si>
  <si>
    <t xml:space="preserve"> ORIGEN DE AGUAS</t>
  </si>
  <si>
    <t>Riego</t>
  </si>
  <si>
    <t xml:space="preserve"> NIVEL INSUMOS...</t>
  </si>
  <si>
    <t>Alto</t>
  </si>
  <si>
    <t xml:space="preserve"> PREP. TERRENO..</t>
  </si>
  <si>
    <t>Mecanizado</t>
  </si>
  <si>
    <t xml:space="preserve"> CLASIF. TERRENO</t>
  </si>
  <si>
    <t>A</t>
  </si>
  <si>
    <t>HOMBRE-DIA</t>
  </si>
  <si>
    <t>8 Horas</t>
  </si>
  <si>
    <t>FECHA     :</t>
  </si>
  <si>
    <t xml:space="preserve"> CARAC. ESPECIAL</t>
  </si>
  <si>
    <t>Porte Bajo</t>
  </si>
  <si>
    <t>JORNAL DIARIO :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</si>
  <si>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</si>
  <si>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</si>
  <si>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</si>
  <si>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</si>
  <si>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</si>
  <si>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</si>
  <si>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</si>
  <si>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</si>
  <si>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>Quintal</t>
  </si>
  <si>
    <t>Kilo</t>
  </si>
  <si>
    <t>Litro</t>
  </si>
  <si>
    <t>Tarea</t>
  </si>
  <si>
    <t>Hom-Día</t>
  </si>
  <si>
    <t>3.  Preparación del Terreno:</t>
  </si>
  <si>
    <t xml:space="preserve">4.  Siembra </t>
  </si>
  <si>
    <t>I</t>
  </si>
  <si>
    <t>II</t>
  </si>
  <si>
    <t>10. Desyerbo</t>
  </si>
  <si>
    <t>III</t>
  </si>
  <si>
    <t>IV</t>
  </si>
  <si>
    <t>V</t>
  </si>
  <si>
    <t>SUBTOTAL</t>
  </si>
  <si>
    <t>GASTOS ADMINISTRATIVOS</t>
  </si>
  <si>
    <t>GASTO SEGURO AGRICOLA.</t>
  </si>
  <si>
    <t>TOTAL</t>
  </si>
  <si>
    <t>I. Semillero             :</t>
  </si>
  <si>
    <t>III. Mano de Obra:</t>
  </si>
  <si>
    <t>II.Preparación de terreno:</t>
  </si>
  <si>
    <t>IV. Insumos      :</t>
  </si>
  <si>
    <t>Unidad</t>
  </si>
  <si>
    <t>Costo/</t>
  </si>
  <si>
    <t>Arroz</t>
  </si>
  <si>
    <t>5 Meses</t>
  </si>
  <si>
    <t xml:space="preserve"> CICLO</t>
  </si>
  <si>
    <t xml:space="preserve"> RUBRO</t>
  </si>
  <si>
    <t xml:space="preserve"> COSTO CODIGO</t>
  </si>
  <si>
    <t>0-02334A*</t>
  </si>
  <si>
    <t>.......................................</t>
  </si>
  <si>
    <t>5.  Riegos</t>
  </si>
  <si>
    <t>Fanegas de 100kg</t>
  </si>
  <si>
    <t>Estimado  Estudios Económicos</t>
  </si>
  <si>
    <t>Notas:</t>
  </si>
  <si>
    <t>Año Preliminar</t>
  </si>
  <si>
    <t>13. Desyerbo</t>
  </si>
  <si>
    <t>17. Desyerbo</t>
  </si>
  <si>
    <t>19. Aplicación (Molusquicida y Raticida)</t>
  </si>
  <si>
    <t>20. Cosecha (Mecanizada)</t>
  </si>
  <si>
    <t>21. Transporte Interno y Sereno</t>
  </si>
  <si>
    <t>2. Fertilizante (Urea)</t>
  </si>
  <si>
    <t>3.  Fertilizante (15-15-15)</t>
  </si>
  <si>
    <t>4. Fertilizante (Sulfato)</t>
  </si>
  <si>
    <t>5. Fertilizante (20-5-20)</t>
  </si>
  <si>
    <t>10.  Insecticida (Cipermetrina)</t>
  </si>
  <si>
    <t>18. Transporte de Insumos</t>
  </si>
  <si>
    <t>19. Pago de Agua INDRHI (5 Meses)</t>
  </si>
  <si>
    <t xml:space="preserve">2.  Mureo </t>
  </si>
  <si>
    <t>3.  Nivelación (Animal)</t>
  </si>
  <si>
    <t>1.  Fangueo (Incluye corte y cruce con rotovator en condiciones húmedas)</t>
  </si>
  <si>
    <t>1. Insumos</t>
  </si>
  <si>
    <t>1.Semilla</t>
  </si>
  <si>
    <t>6.  Fungicida (Mancoceb)</t>
  </si>
  <si>
    <t>11. Insecticida (Imidacroprid)</t>
  </si>
  <si>
    <t>12.  Insecticida (Organofosforado)</t>
  </si>
  <si>
    <t>17. Raticida Racumin (Coumafetraly)</t>
  </si>
  <si>
    <t>13.  Herbicida (Acido 2,4  diclorofenoxiacético)</t>
  </si>
  <si>
    <t>7.  Fungicida (Azufre)</t>
  </si>
  <si>
    <t>8. Fungicida (Isoprothiolane)</t>
  </si>
  <si>
    <t>9. Fungicida  (Tricyclazole)</t>
  </si>
  <si>
    <t xml:space="preserve">9.  Riegos </t>
  </si>
  <si>
    <t xml:space="preserve">12. Riego </t>
  </si>
  <si>
    <t xml:space="preserve">16. Riego </t>
  </si>
  <si>
    <t>PAGO INTERESES 8.0% ANUAL (6 MESES 4%)</t>
  </si>
  <si>
    <t xml:space="preserve">16. Molusquicida (Aldhido ciclico metaldehido) </t>
  </si>
  <si>
    <t xml:space="preserve">15.  Herbicida (Butaclor) </t>
  </si>
  <si>
    <t xml:space="preserve">14.  Herbicida (Quinclorac) </t>
  </si>
  <si>
    <t>600,00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</si>
  <si>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 de los insumos actualizados a marzo 2022.</t>
  </si>
  <si>
    <t>Noroeste</t>
  </si>
  <si>
    <t>Viceministerio de Planificación Sectorial Agropecuaria</t>
  </si>
  <si>
    <t>Departamento de Economía Agropecuaria y Estadísticas</t>
  </si>
  <si>
    <t>20. Limpieza de Canales</t>
  </si>
  <si>
    <t>6.  Aplicación Fertilizantes  (0.0556 QQ Urea + 0.2340 QQ 15-15-15+ 0.2253 QQ Sultado)</t>
  </si>
  <si>
    <t>7.  Aplicación Herbicidas  (0.0799 Lt; 2-4-D + 0.1506 Lt;  Machete 600 EC)</t>
  </si>
  <si>
    <t>8.  Aplicación Pesticidas   (0.0650 Lts Calidan + 0.0762 Kg;  Dithane M-45)</t>
  </si>
  <si>
    <t>11. Aplicación Fertilizante  (0.0556 QQ Urea + 0.2340 QQ  15-15-15)</t>
  </si>
  <si>
    <t>14. Aplicación Fertilizante  (0.0556 QQ Urea + 0.2851 QQ 20-5-20)</t>
  </si>
  <si>
    <t>15. Aplicación Insecticida (0.0185 Lt confidor  + 0.0529 curacron)</t>
  </si>
  <si>
    <t>18. Aplicación Insecticida  (0.0.0305 Lts cipermetrina)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</si>
  <si>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Ministerio de Agricultura, Economía Agropecuaria y Estadísticas</t>
    </r>
  </si>
  <si>
    <t>Cantidad</t>
  </si>
  <si>
    <t xml:space="preserve">   Coeficiente Técnico por Actividad </t>
  </si>
  <si>
    <t xml:space="preserve"> Participación  % por Actividad</t>
  </si>
  <si>
    <t>Costos Variables de Producción de Arroz, 2022 (RD$/ tarea)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</si>
</sst>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General_)"/>
    <numFmt numFmtId="195" formatCode="0.00_)"/>
    <numFmt numFmtId="196" formatCode="#,##0.0000_);\(#,##0.0000\)"/>
    <numFmt numFmtId="197" formatCode="0_)"/>
    <numFmt numFmtId="198" formatCode="0.0000_)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00"/>
    <numFmt numFmtId="205" formatCode="0.0000"/>
    <numFmt numFmtId="206" formatCode="#,##0.0000000000_);\(#,##0.0000000000\)"/>
    <numFmt numFmtId="207" formatCode="#,##0.00_ ;\-#,##0.00\ "/>
    <numFmt numFmtId="208" formatCode="0.0000000"/>
    <numFmt numFmtId="209" formatCode="0.000000"/>
    <numFmt numFmtId="210" formatCode="0.00000"/>
    <numFmt numFmtId="211" formatCode="0.0"/>
    <numFmt numFmtId="212" formatCode="#,##0.00\ _€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#,##0.000000000000_);\(#,##0.000000000000\)"/>
    <numFmt numFmtId="218" formatCode="#,##0.00000000000_);\(#,##0.00000000000\)"/>
    <numFmt numFmtId="219" formatCode="#,##0.000000000_);\(#,##0.000000000\)"/>
    <numFmt numFmtId="220" formatCode="#,##0.00000000_);\(#,##0.00000000\)"/>
    <numFmt numFmtId="221" formatCode="#,##0.0000000_);\(#,##0.0000000\)"/>
    <numFmt numFmtId="222" formatCode="#,##0.000000_);\(#,##0.000000\)"/>
    <numFmt numFmtId="223" formatCode="#,##0.00000_);\(#,##0.00000\)"/>
    <numFmt numFmtId="224" formatCode="#,##0.000_);\(#,##0.000\)"/>
    <numFmt numFmtId="225" formatCode="0.000000000000%"/>
  </numFmts>
  <fonts count="62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color indexed="10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6"/>
      <color rgb="FFFF0000"/>
      <name val="Calibri"/>
      <family val="2"/>
    </font>
    <font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3" fillId="0" borderId="0" xfId="0" applyFont="1" applyAlignment="1">
      <alignment/>
    </xf>
    <xf numFmtId="0" fontId="2" fillId="33" borderId="0" xfId="0" applyFont="1" applyFill="1" applyAlignment="1">
      <alignment/>
    </xf>
    <xf numFmtId="4" fontId="0" fillId="0" borderId="0" xfId="0" applyNumberFormat="1" applyAlignment="1">
      <alignment/>
    </xf>
    <xf numFmtId="4" fontId="3" fillId="0" borderId="0" xfId="46" applyNumberFormat="1" applyAlignment="1" applyProtection="1">
      <alignment/>
      <protection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>
      <alignment/>
    </xf>
    <xf numFmtId="195" fontId="8" fillId="33" borderId="0" xfId="0" applyNumberFormat="1" applyFont="1" applyFill="1" applyAlignment="1" applyProtection="1">
      <alignment/>
      <protection/>
    </xf>
    <xf numFmtId="196" fontId="8" fillId="33" borderId="0" xfId="0" applyNumberFormat="1" applyFont="1" applyFill="1" applyAlignment="1" applyProtection="1">
      <alignment horizontal="left"/>
      <protection/>
    </xf>
    <xf numFmtId="39" fontId="54" fillId="33" borderId="0" xfId="0" applyNumberFormat="1" applyFont="1" applyFill="1" applyAlignment="1" applyProtection="1">
      <alignment horizontal="center"/>
      <protection/>
    </xf>
    <xf numFmtId="197" fontId="8" fillId="33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>
      <alignment/>
    </xf>
    <xf numFmtId="0" fontId="8" fillId="33" borderId="0" xfId="0" applyFont="1" applyFill="1" applyAlignment="1" applyProtection="1">
      <alignment horizontal="center"/>
      <protection/>
    </xf>
    <xf numFmtId="196" fontId="8" fillId="33" borderId="0" xfId="0" applyNumberFormat="1" applyFont="1" applyFill="1" applyAlignment="1" applyProtection="1">
      <alignment horizontal="center"/>
      <protection/>
    </xf>
    <xf numFmtId="196" fontId="8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173" fontId="8" fillId="33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54" fillId="0" borderId="0" xfId="0" applyFont="1" applyAlignment="1">
      <alignment/>
    </xf>
    <xf numFmtId="0" fontId="8" fillId="33" borderId="0" xfId="0" applyFont="1" applyFill="1" applyBorder="1" applyAlignment="1" applyProtection="1">
      <alignment horizontal="fill"/>
      <protection/>
    </xf>
    <xf numFmtId="0" fontId="55" fillId="0" borderId="0" xfId="0" applyFont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56" fillId="0" borderId="0" xfId="0" applyFont="1" applyFill="1" applyAlignment="1">
      <alignment/>
    </xf>
    <xf numFmtId="0" fontId="8" fillId="33" borderId="10" xfId="0" applyFont="1" applyFill="1" applyBorder="1" applyAlignment="1" applyProtection="1">
      <alignment horizontal="left"/>
      <protection/>
    </xf>
    <xf numFmtId="195" fontId="8" fillId="33" borderId="0" xfId="0" applyNumberFormat="1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/>
      <protection/>
    </xf>
    <xf numFmtId="9" fontId="8" fillId="33" borderId="12" xfId="57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8" fillId="33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5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33" borderId="13" xfId="0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33" borderId="15" xfId="0" applyFont="1" applyFill="1" applyBorder="1" applyAlignment="1" applyProtection="1">
      <alignment horizontal="center"/>
      <protection/>
    </xf>
    <xf numFmtId="9" fontId="8" fillId="33" borderId="16" xfId="57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fill"/>
      <protection/>
    </xf>
    <xf numFmtId="195" fontId="8" fillId="33" borderId="18" xfId="0" applyNumberFormat="1" applyFont="1" applyFill="1" applyBorder="1" applyAlignment="1" applyProtection="1">
      <alignment horizontal="fill"/>
      <protection/>
    </xf>
    <xf numFmtId="207" fontId="8" fillId="33" borderId="0" xfId="0" applyNumberFormat="1" applyFont="1" applyFill="1" applyAlignment="1">
      <alignment/>
    </xf>
    <xf numFmtId="43" fontId="5" fillId="33" borderId="0" xfId="49" applyFont="1" applyFill="1" applyAlignment="1">
      <alignment/>
    </xf>
    <xf numFmtId="0" fontId="8" fillId="33" borderId="0" xfId="0" applyFont="1" applyFill="1" applyAlignment="1">
      <alignment horizontal="left"/>
    </xf>
    <xf numFmtId="0" fontId="7" fillId="0" borderId="0" xfId="0" applyFont="1" applyAlignment="1">
      <alignment/>
    </xf>
    <xf numFmtId="0" fontId="59" fillId="34" borderId="0" xfId="0" applyFont="1" applyFill="1" applyAlignment="1" applyProtection="1">
      <alignment horizontal="left"/>
      <protection/>
    </xf>
    <xf numFmtId="0" fontId="56" fillId="34" borderId="0" xfId="0" applyFont="1" applyFill="1" applyAlignment="1" applyProtection="1">
      <alignment horizontal="left"/>
      <protection/>
    </xf>
    <xf numFmtId="0" fontId="56" fillId="34" borderId="0" xfId="0" applyFont="1" applyFill="1" applyAlignment="1">
      <alignment/>
    </xf>
    <xf numFmtId="0" fontId="60" fillId="35" borderId="13" xfId="0" applyFont="1" applyFill="1" applyBorder="1" applyAlignment="1" applyProtection="1">
      <alignment horizontal="left"/>
      <protection/>
    </xf>
    <xf numFmtId="0" fontId="56" fillId="35" borderId="14" xfId="0" applyFont="1" applyFill="1" applyBorder="1" applyAlignment="1" applyProtection="1">
      <alignment horizontal="fill"/>
      <protection/>
    </xf>
    <xf numFmtId="0" fontId="56" fillId="33" borderId="0" xfId="0" applyFont="1" applyFill="1" applyAlignment="1">
      <alignment/>
    </xf>
    <xf numFmtId="9" fontId="8" fillId="33" borderId="0" xfId="57" applyFont="1" applyFill="1" applyAlignment="1">
      <alignment/>
    </xf>
    <xf numFmtId="0" fontId="54" fillId="33" borderId="0" xfId="0" applyFont="1" applyFill="1" applyAlignment="1">
      <alignment/>
    </xf>
    <xf numFmtId="0" fontId="54" fillId="33" borderId="17" xfId="0" applyFont="1" applyFill="1" applyBorder="1" applyAlignment="1" applyProtection="1">
      <alignment horizontal="left"/>
      <protection/>
    </xf>
    <xf numFmtId="0" fontId="54" fillId="33" borderId="19" xfId="0" applyFont="1" applyFill="1" applyBorder="1" applyAlignment="1">
      <alignment/>
    </xf>
    <xf numFmtId="7" fontId="54" fillId="33" borderId="20" xfId="0" applyNumberFormat="1" applyFont="1" applyFill="1" applyBorder="1" applyAlignment="1" applyProtection="1">
      <alignment/>
      <protection/>
    </xf>
    <xf numFmtId="224" fontId="54" fillId="33" borderId="0" xfId="0" applyNumberFormat="1" applyFont="1" applyFill="1" applyAlignment="1">
      <alignment/>
    </xf>
    <xf numFmtId="0" fontId="54" fillId="33" borderId="13" xfId="0" applyFont="1" applyFill="1" applyBorder="1" applyAlignment="1" applyProtection="1">
      <alignment horizontal="left"/>
      <protection/>
    </xf>
    <xf numFmtId="0" fontId="54" fillId="33" borderId="21" xfId="0" applyFont="1" applyFill="1" applyBorder="1" applyAlignment="1">
      <alignment/>
    </xf>
    <xf numFmtId="7" fontId="54" fillId="33" borderId="22" xfId="0" applyNumberFormat="1" applyFont="1" applyFill="1" applyBorder="1" applyAlignment="1" applyProtection="1">
      <alignment/>
      <protection/>
    </xf>
    <xf numFmtId="9" fontId="54" fillId="33" borderId="0" xfId="57" applyFont="1" applyFill="1" applyAlignment="1">
      <alignment/>
    </xf>
    <xf numFmtId="0" fontId="6" fillId="33" borderId="0" xfId="0" applyFont="1" applyFill="1" applyAlignment="1">
      <alignment horizontal="center" vertical="center"/>
    </xf>
    <xf numFmtId="198" fontId="8" fillId="33" borderId="11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56" fillId="34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3" fontId="8" fillId="33" borderId="0" xfId="49" applyFont="1" applyFill="1" applyAlignment="1" applyProtection="1">
      <alignment horizontal="center"/>
      <protection/>
    </xf>
    <xf numFmtId="0" fontId="61" fillId="33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56" fillId="35" borderId="14" xfId="0" applyFont="1" applyFill="1" applyBorder="1" applyAlignment="1" applyProtection="1">
      <alignment horizontal="center"/>
      <protection/>
    </xf>
    <xf numFmtId="10" fontId="54" fillId="33" borderId="23" xfId="0" applyNumberFormat="1" applyFont="1" applyFill="1" applyBorder="1" applyAlignment="1" applyProtection="1">
      <alignment horizontal="center"/>
      <protection/>
    </xf>
    <xf numFmtId="10" fontId="54" fillId="33" borderId="15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43" fontId="1" fillId="33" borderId="0" xfId="49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3" fontId="8" fillId="33" borderId="0" xfId="0" applyNumberFormat="1" applyFont="1" applyFill="1" applyAlignment="1">
      <alignment horizontal="center"/>
    </xf>
    <xf numFmtId="198" fontId="8" fillId="33" borderId="11" xfId="0" applyNumberFormat="1" applyFont="1" applyFill="1" applyBorder="1" applyAlignment="1" applyProtection="1">
      <alignment horizontal="center"/>
      <protection/>
    </xf>
    <xf numFmtId="39" fontId="8" fillId="33" borderId="11" xfId="0" applyNumberFormat="1" applyFont="1" applyFill="1" applyBorder="1" applyAlignment="1" applyProtection="1">
      <alignment horizontal="center"/>
      <protection/>
    </xf>
    <xf numFmtId="198" fontId="8" fillId="33" borderId="15" xfId="0" applyNumberFormat="1" applyFont="1" applyFill="1" applyBorder="1" applyAlignment="1" applyProtection="1">
      <alignment horizontal="center"/>
      <protection/>
    </xf>
    <xf numFmtId="198" fontId="8" fillId="33" borderId="18" xfId="0" applyNumberFormat="1" applyFont="1" applyFill="1" applyBorder="1" applyAlignment="1" applyProtection="1">
      <alignment horizontal="center"/>
      <protection/>
    </xf>
    <xf numFmtId="39" fontId="54" fillId="33" borderId="11" xfId="0" applyNumberFormat="1" applyFont="1" applyFill="1" applyBorder="1" applyAlignment="1" applyProtection="1">
      <alignment horizontal="center"/>
      <protection/>
    </xf>
    <xf numFmtId="39" fontId="8" fillId="33" borderId="15" xfId="0" applyNumberFormat="1" applyFont="1" applyFill="1" applyBorder="1" applyAlignment="1" applyProtection="1">
      <alignment horizontal="center"/>
      <protection/>
    </xf>
    <xf numFmtId="39" fontId="8" fillId="33" borderId="18" xfId="0" applyNumberFormat="1" applyFont="1" applyFill="1" applyBorder="1" applyAlignment="1" applyProtection="1">
      <alignment horizontal="center"/>
      <protection/>
    </xf>
    <xf numFmtId="39" fontId="8" fillId="33" borderId="0" xfId="0" applyNumberFormat="1" applyFont="1" applyFill="1" applyBorder="1" applyAlignment="1" applyProtection="1">
      <alignment horizontal="center"/>
      <protection/>
    </xf>
    <xf numFmtId="39" fontId="56" fillId="35" borderId="14" xfId="0" applyNumberFormat="1" applyFont="1" applyFill="1" applyBorder="1" applyAlignment="1" applyProtection="1">
      <alignment horizontal="center"/>
      <protection/>
    </xf>
    <xf numFmtId="7" fontId="54" fillId="33" borderId="23" xfId="0" applyNumberFormat="1" applyFont="1" applyFill="1" applyBorder="1" applyAlignment="1" applyProtection="1">
      <alignment horizontal="center"/>
      <protection/>
    </xf>
    <xf numFmtId="7" fontId="54" fillId="33" borderId="15" xfId="0" applyNumberFormat="1" applyFont="1" applyFill="1" applyBorder="1" applyAlignment="1" applyProtection="1">
      <alignment horizontal="center"/>
      <protection/>
    </xf>
    <xf numFmtId="39" fontId="5" fillId="33" borderId="24" xfId="0" applyNumberFormat="1" applyFont="1" applyFill="1" applyBorder="1" applyAlignment="1" applyProtection="1">
      <alignment horizontal="center"/>
      <protection/>
    </xf>
    <xf numFmtId="195" fontId="8" fillId="33" borderId="12" xfId="0" applyNumberFormat="1" applyFont="1" applyFill="1" applyBorder="1" applyAlignment="1" applyProtection="1">
      <alignment horizontal="center"/>
      <protection/>
    </xf>
    <xf numFmtId="39" fontId="8" fillId="33" borderId="12" xfId="0" applyNumberFormat="1" applyFont="1" applyFill="1" applyBorder="1" applyAlignment="1" applyProtection="1">
      <alignment horizontal="center"/>
      <protection/>
    </xf>
    <xf numFmtId="39" fontId="60" fillId="35" borderId="16" xfId="0" applyNumberFormat="1" applyFont="1" applyFill="1" applyBorder="1" applyAlignment="1" applyProtection="1">
      <alignment horizontal="center"/>
      <protection/>
    </xf>
    <xf numFmtId="10" fontId="54" fillId="33" borderId="24" xfId="0" applyNumberFormat="1" applyFont="1" applyFill="1" applyBorder="1" applyAlignment="1" applyProtection="1">
      <alignment horizontal="center"/>
      <protection/>
    </xf>
    <xf numFmtId="10" fontId="54" fillId="33" borderId="16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56" fillId="34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" fontId="8" fillId="33" borderId="11" xfId="0" applyNumberFormat="1" applyFont="1" applyFill="1" applyBorder="1" applyAlignment="1" applyProtection="1">
      <alignment horizontal="center"/>
      <protection/>
    </xf>
    <xf numFmtId="4" fontId="8" fillId="33" borderId="11" xfId="49" applyNumberFormat="1" applyFont="1" applyFill="1" applyBorder="1" applyAlignment="1" applyProtection="1">
      <alignment horizontal="center"/>
      <protection/>
    </xf>
    <xf numFmtId="4" fontId="8" fillId="33" borderId="15" xfId="49" applyNumberFormat="1" applyFont="1" applyFill="1" applyBorder="1" applyAlignment="1" applyProtection="1">
      <alignment horizontal="center"/>
      <protection/>
    </xf>
    <xf numFmtId="4" fontId="8" fillId="33" borderId="0" xfId="0" applyNumberFormat="1" applyFont="1" applyFill="1" applyBorder="1" applyAlignment="1">
      <alignment horizontal="center"/>
    </xf>
    <xf numFmtId="4" fontId="55" fillId="33" borderId="0" xfId="0" applyNumberFormat="1" applyFont="1" applyFill="1" applyBorder="1" applyAlignment="1">
      <alignment horizontal="center"/>
    </xf>
    <xf numFmtId="4" fontId="56" fillId="33" borderId="0" xfId="0" applyNumberFormat="1" applyFont="1" applyFill="1" applyBorder="1" applyAlignment="1">
      <alignment horizontal="center"/>
    </xf>
    <xf numFmtId="4" fontId="54" fillId="33" borderId="0" xfId="0" applyNumberFormat="1" applyFont="1" applyFill="1" applyBorder="1" applyAlignment="1" applyProtection="1">
      <alignment horizontal="center"/>
      <protection/>
    </xf>
    <xf numFmtId="4" fontId="54" fillId="33" borderId="0" xfId="0" applyNumberFormat="1" applyFont="1" applyFill="1" applyAlignment="1">
      <alignment horizontal="center"/>
    </xf>
    <xf numFmtId="4" fontId="54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60" fillId="36" borderId="17" xfId="0" applyFont="1" applyFill="1" applyBorder="1" applyAlignment="1" applyProtection="1">
      <alignment horizontal="centerContinuous"/>
      <protection/>
    </xf>
    <xf numFmtId="0" fontId="60" fillId="36" borderId="18" xfId="0" applyFont="1" applyFill="1" applyBorder="1" applyAlignment="1">
      <alignment horizontal="centerContinuous"/>
    </xf>
    <xf numFmtId="0" fontId="60" fillId="36" borderId="18" xfId="0" applyFont="1" applyFill="1" applyBorder="1" applyAlignment="1">
      <alignment horizontal="center"/>
    </xf>
    <xf numFmtId="39" fontId="60" fillId="36" borderId="19" xfId="0" applyNumberFormat="1" applyFont="1" applyFill="1" applyBorder="1" applyAlignment="1" applyProtection="1">
      <alignment horizontal="center"/>
      <protection/>
    </xf>
    <xf numFmtId="0" fontId="56" fillId="36" borderId="25" xfId="0" applyFont="1" applyFill="1" applyBorder="1" applyAlignment="1" applyProtection="1">
      <alignment horizontal="fill"/>
      <protection/>
    </xf>
    <xf numFmtId="0" fontId="56" fillId="36" borderId="26" xfId="0" applyFont="1" applyFill="1" applyBorder="1" applyAlignment="1" applyProtection="1">
      <alignment horizontal="fill"/>
      <protection/>
    </xf>
    <xf numFmtId="0" fontId="56" fillId="36" borderId="26" xfId="0" applyFont="1" applyFill="1" applyBorder="1" applyAlignment="1" applyProtection="1">
      <alignment horizontal="center"/>
      <protection/>
    </xf>
    <xf numFmtId="0" fontId="56" fillId="36" borderId="27" xfId="0" applyFont="1" applyFill="1" applyBorder="1" applyAlignment="1" applyProtection="1">
      <alignment horizontal="center"/>
      <protection/>
    </xf>
    <xf numFmtId="0" fontId="60" fillId="36" borderId="10" xfId="0" applyFont="1" applyFill="1" applyBorder="1" applyAlignment="1">
      <alignment/>
    </xf>
    <xf numFmtId="0" fontId="60" fillId="36" borderId="0" xfId="0" applyFont="1" applyFill="1" applyBorder="1" applyAlignment="1">
      <alignment/>
    </xf>
    <xf numFmtId="0" fontId="60" fillId="36" borderId="28" xfId="0" applyFont="1" applyFill="1" applyBorder="1" applyAlignment="1">
      <alignment horizontal="center"/>
    </xf>
    <xf numFmtId="0" fontId="60" fillId="36" borderId="28" xfId="0" applyFont="1" applyFill="1" applyBorder="1" applyAlignment="1" applyProtection="1">
      <alignment horizontal="center"/>
      <protection/>
    </xf>
    <xf numFmtId="0" fontId="60" fillId="36" borderId="10" xfId="0" applyFont="1" applyFill="1" applyBorder="1" applyAlignment="1" applyProtection="1">
      <alignment horizontal="left"/>
      <protection/>
    </xf>
    <xf numFmtId="0" fontId="60" fillId="36" borderId="11" xfId="0" applyFont="1" applyFill="1" applyBorder="1" applyAlignment="1" applyProtection="1">
      <alignment horizontal="center"/>
      <protection/>
    </xf>
    <xf numFmtId="0" fontId="60" fillId="36" borderId="13" xfId="0" applyFont="1" applyFill="1" applyBorder="1" applyAlignment="1" applyProtection="1">
      <alignment horizontal="fill"/>
      <protection/>
    </xf>
    <xf numFmtId="0" fontId="60" fillId="36" borderId="14" xfId="0" applyFont="1" applyFill="1" applyBorder="1" applyAlignment="1" applyProtection="1">
      <alignment horizontal="fill"/>
      <protection/>
    </xf>
    <xf numFmtId="0" fontId="60" fillId="36" borderId="15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8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/>
    </xf>
    <xf numFmtId="0" fontId="8" fillId="33" borderId="29" xfId="0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33" borderId="30" xfId="0" applyFont="1" applyFill="1" applyBorder="1" applyAlignment="1" applyProtection="1">
      <alignment horizontal="left" wrapText="1"/>
      <protection/>
    </xf>
    <xf numFmtId="0" fontId="6" fillId="33" borderId="0" xfId="0" applyFont="1" applyFill="1" applyAlignment="1">
      <alignment horizontal="center" vertical="center"/>
    </xf>
    <xf numFmtId="4" fontId="56" fillId="36" borderId="20" xfId="0" applyNumberFormat="1" applyFont="1" applyFill="1" applyBorder="1" applyAlignment="1">
      <alignment horizontal="center" vertical="justify"/>
    </xf>
    <xf numFmtId="4" fontId="56" fillId="36" borderId="31" xfId="0" applyNumberFormat="1" applyFont="1" applyFill="1" applyBorder="1" applyAlignment="1">
      <alignment horizontal="center" vertical="justify"/>
    </xf>
    <xf numFmtId="4" fontId="56" fillId="36" borderId="22" xfId="0" applyNumberFormat="1" applyFont="1" applyFill="1" applyBorder="1" applyAlignment="1">
      <alignment horizontal="center" vertical="justify"/>
    </xf>
    <xf numFmtId="0" fontId="56" fillId="36" borderId="32" xfId="0" applyFont="1" applyFill="1" applyBorder="1" applyAlignment="1">
      <alignment horizontal="center" vertical="justify"/>
    </xf>
    <xf numFmtId="0" fontId="56" fillId="36" borderId="33" xfId="0" applyFont="1" applyFill="1" applyBorder="1" applyAlignment="1">
      <alignment horizontal="center" vertical="justify"/>
    </xf>
    <xf numFmtId="0" fontId="56" fillId="36" borderId="34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54" fillId="33" borderId="20" xfId="0" applyFont="1" applyFill="1" applyBorder="1" applyAlignment="1" applyProtection="1">
      <alignment horizontal="center"/>
      <protection/>
    </xf>
    <xf numFmtId="0" fontId="54" fillId="33" borderId="19" xfId="0" applyFont="1" applyFill="1" applyBorder="1" applyAlignment="1" applyProtection="1">
      <alignment horizontal="center"/>
      <protection/>
    </xf>
    <xf numFmtId="0" fontId="54" fillId="33" borderId="22" xfId="0" applyFont="1" applyFill="1" applyBorder="1" applyAlignment="1" applyProtection="1">
      <alignment horizontal="center"/>
      <protection/>
    </xf>
    <xf numFmtId="0" fontId="54" fillId="33" borderId="21" xfId="0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9525</xdr:rowOff>
    </xdr:from>
    <xdr:to>
      <xdr:col>5</xdr:col>
      <xdr:colOff>514350</xdr:colOff>
      <xdr:row>1</xdr:row>
      <xdr:rowOff>76200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5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usto%20rijo\Downloads\Cereales\Arroz%20Nacional\ARROZ%20TRASPLANTE%20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1">
          <cell r="H101">
            <v>6706.159753681695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showGridLines="0" tabSelected="1" zoomScale="98" zoomScaleNormal="98" workbookViewId="0" topLeftCell="A1">
      <selection activeCell="M16" sqref="M16"/>
    </sheetView>
  </sheetViews>
  <sheetFormatPr defaultColWidth="11.00390625" defaultRowHeight="12.75"/>
  <cols>
    <col min="1" max="1" width="14.421875" style="1" customWidth="1"/>
    <col min="2" max="2" width="11.7109375" style="1" customWidth="1"/>
    <col min="3" max="3" width="14.57421875" style="1" customWidth="1"/>
    <col min="4" max="4" width="8.8515625" style="91" customWidth="1"/>
    <col min="5" max="5" width="9.7109375" style="91" customWidth="1"/>
    <col min="6" max="6" width="9.57421875" style="1" customWidth="1"/>
    <col min="7" max="7" width="9.57421875" style="91" customWidth="1"/>
    <col min="8" max="8" width="10.7109375" style="91" customWidth="1"/>
    <col min="9" max="9" width="12.57421875" style="126" customWidth="1"/>
    <col min="10" max="10" width="12.00390625" style="1" customWidth="1"/>
    <col min="11" max="12" width="11.00390625" style="1" customWidth="1"/>
    <col min="13" max="13" width="9.00390625" style="1" customWidth="1"/>
    <col min="14" max="16" width="0" style="1" hidden="1" customWidth="1"/>
    <col min="17" max="16384" width="11.00390625" style="1" customWidth="1"/>
  </cols>
  <sheetData>
    <row r="1" spans="1:11" ht="32.25" customHeight="1">
      <c r="A1" s="144"/>
      <c r="B1" s="144"/>
      <c r="C1" s="144"/>
      <c r="D1" s="144"/>
      <c r="E1" s="144"/>
      <c r="F1" s="144"/>
      <c r="G1" s="144"/>
      <c r="H1" s="144"/>
      <c r="I1" s="144"/>
      <c r="J1" s="12"/>
      <c r="K1" s="24"/>
    </row>
    <row r="2" spans="1:11" ht="22.5" customHeight="1">
      <c r="A2" s="154" t="s">
        <v>97</v>
      </c>
      <c r="B2" s="154"/>
      <c r="C2" s="154"/>
      <c r="D2" s="154"/>
      <c r="E2" s="154"/>
      <c r="F2" s="154"/>
      <c r="G2" s="154"/>
      <c r="H2" s="154"/>
      <c r="I2" s="154"/>
      <c r="J2" s="154"/>
      <c r="K2" s="24"/>
    </row>
    <row r="3" spans="1:11" ht="14.25" customHeight="1">
      <c r="A3" s="154" t="s">
        <v>98</v>
      </c>
      <c r="B3" s="154"/>
      <c r="C3" s="154"/>
      <c r="D3" s="154"/>
      <c r="E3" s="154"/>
      <c r="F3" s="154"/>
      <c r="G3" s="154"/>
      <c r="H3" s="154"/>
      <c r="I3" s="154"/>
      <c r="J3" s="154"/>
      <c r="K3" s="24"/>
    </row>
    <row r="4" spans="1:11" ht="6.75" customHeight="1">
      <c r="A4" s="73"/>
      <c r="B4" s="73"/>
      <c r="C4" s="73"/>
      <c r="D4" s="75"/>
      <c r="E4" s="75"/>
      <c r="F4" s="73"/>
      <c r="G4" s="75"/>
      <c r="H4" s="75"/>
      <c r="I4" s="110"/>
      <c r="J4" s="73"/>
      <c r="K4" s="24"/>
    </row>
    <row r="5" spans="1:11" ht="14.25" customHeight="1">
      <c r="A5" s="154" t="s">
        <v>111</v>
      </c>
      <c r="B5" s="154"/>
      <c r="C5" s="154"/>
      <c r="D5" s="154"/>
      <c r="E5" s="154"/>
      <c r="F5" s="154"/>
      <c r="G5" s="154"/>
      <c r="H5" s="154"/>
      <c r="I5" s="154"/>
      <c r="J5" s="154"/>
      <c r="K5" s="24"/>
    </row>
    <row r="6" spans="1:11" ht="4.5" customHeight="1">
      <c r="A6" s="24"/>
      <c r="B6" s="24"/>
      <c r="C6" s="24"/>
      <c r="D6" s="77"/>
      <c r="E6" s="77"/>
      <c r="F6" s="24"/>
      <c r="G6" s="77"/>
      <c r="H6" s="77"/>
      <c r="I6" s="111"/>
      <c r="J6" s="24"/>
      <c r="K6" s="24"/>
    </row>
    <row r="7" spans="1:11" ht="2.25" customHeight="1">
      <c r="A7" s="57"/>
      <c r="B7" s="58"/>
      <c r="C7" s="59"/>
      <c r="D7" s="78"/>
      <c r="E7" s="78"/>
      <c r="F7" s="59"/>
      <c r="G7" s="78"/>
      <c r="H7" s="78"/>
      <c r="I7" s="112"/>
      <c r="J7" s="59"/>
      <c r="K7" s="24"/>
    </row>
    <row r="8" spans="1:11" ht="12" customHeight="1">
      <c r="A8" s="11" t="s">
        <v>0</v>
      </c>
      <c r="B8" s="11" t="s">
        <v>96</v>
      </c>
      <c r="C8" s="12"/>
      <c r="D8" s="79"/>
      <c r="E8" s="79"/>
      <c r="F8" s="11" t="s">
        <v>53</v>
      </c>
      <c r="G8" s="79"/>
      <c r="H8" s="79" t="s">
        <v>56</v>
      </c>
      <c r="I8" s="113"/>
      <c r="J8" s="18" t="s">
        <v>50</v>
      </c>
      <c r="K8" s="24"/>
    </row>
    <row r="9" spans="1:11" ht="12.75">
      <c r="A9" s="11" t="s">
        <v>1</v>
      </c>
      <c r="B9" s="11" t="s">
        <v>59</v>
      </c>
      <c r="C9" s="12"/>
      <c r="D9" s="79"/>
      <c r="E9" s="79"/>
      <c r="F9" s="11" t="s">
        <v>52</v>
      </c>
      <c r="G9" s="79"/>
      <c r="H9" s="79" t="s">
        <v>56</v>
      </c>
      <c r="I9" s="113"/>
      <c r="J9" s="12" t="s">
        <v>51</v>
      </c>
      <c r="K9" s="24"/>
    </row>
    <row r="10" spans="1:11" ht="12.75">
      <c r="A10" s="11"/>
      <c r="B10" s="11"/>
      <c r="C10" s="12"/>
      <c r="D10" s="19" t="s">
        <v>49</v>
      </c>
      <c r="E10" s="79"/>
      <c r="F10" s="11" t="s">
        <v>54</v>
      </c>
      <c r="G10" s="19"/>
      <c r="H10" s="79" t="s">
        <v>56</v>
      </c>
      <c r="I10" s="113"/>
      <c r="J10" s="11" t="s">
        <v>55</v>
      </c>
      <c r="K10" s="24"/>
    </row>
    <row r="11" spans="1:11" ht="12.75">
      <c r="A11" s="11"/>
      <c r="B11" s="11" t="s">
        <v>2</v>
      </c>
      <c r="C11" s="19" t="s">
        <v>48</v>
      </c>
      <c r="D11" s="19" t="s">
        <v>48</v>
      </c>
      <c r="E11" s="79"/>
      <c r="F11" s="11" t="s">
        <v>3</v>
      </c>
      <c r="G11" s="79"/>
      <c r="H11" s="79" t="s">
        <v>56</v>
      </c>
      <c r="I11" s="113"/>
      <c r="J11" s="11" t="s">
        <v>4</v>
      </c>
      <c r="K11" s="24"/>
    </row>
    <row r="12" spans="1:11" ht="12.75">
      <c r="A12" s="12"/>
      <c r="B12" s="13"/>
      <c r="C12" s="12"/>
      <c r="D12" s="79"/>
      <c r="E12" s="79"/>
      <c r="F12" s="11" t="s">
        <v>5</v>
      </c>
      <c r="G12" s="79"/>
      <c r="H12" s="79" t="s">
        <v>56</v>
      </c>
      <c r="I12" s="113"/>
      <c r="J12" s="11" t="s">
        <v>6</v>
      </c>
      <c r="K12" s="25"/>
    </row>
    <row r="13" spans="1:11" ht="12.75">
      <c r="A13" s="14"/>
      <c r="B13" s="15">
        <v>4.61</v>
      </c>
      <c r="C13" s="20" t="s">
        <v>58</v>
      </c>
      <c r="D13" s="80">
        <f>+H71/B13</f>
        <v>2202.186968753366</v>
      </c>
      <c r="E13" s="79"/>
      <c r="F13" s="11" t="s">
        <v>7</v>
      </c>
      <c r="G13" s="79"/>
      <c r="H13" s="79" t="s">
        <v>56</v>
      </c>
      <c r="I13" s="113"/>
      <c r="J13" s="11" t="s">
        <v>8</v>
      </c>
      <c r="K13" s="25"/>
    </row>
    <row r="14" spans="1:11" ht="12.75">
      <c r="A14" s="14"/>
      <c r="B14" s="12"/>
      <c r="C14" s="21"/>
      <c r="D14" s="79"/>
      <c r="E14" s="92"/>
      <c r="F14" s="11" t="s">
        <v>9</v>
      </c>
      <c r="G14" s="79"/>
      <c r="H14" s="79" t="s">
        <v>56</v>
      </c>
      <c r="I14" s="113"/>
      <c r="J14" s="11" t="s">
        <v>10</v>
      </c>
      <c r="K14" s="25"/>
    </row>
    <row r="15" spans="1:11" ht="12.75">
      <c r="A15" s="11" t="s">
        <v>13</v>
      </c>
      <c r="B15" s="16" t="s">
        <v>14</v>
      </c>
      <c r="C15" s="17" t="s">
        <v>15</v>
      </c>
      <c r="D15" s="22">
        <v>2022</v>
      </c>
      <c r="E15" s="79"/>
      <c r="F15" s="11" t="s">
        <v>11</v>
      </c>
      <c r="G15" s="79"/>
      <c r="H15" s="79" t="s">
        <v>56</v>
      </c>
      <c r="I15" s="113"/>
      <c r="J15" s="11" t="s">
        <v>12</v>
      </c>
      <c r="K15" s="25"/>
    </row>
    <row r="16" spans="1:11" ht="13.5" thickBot="1">
      <c r="A16" s="11" t="s">
        <v>18</v>
      </c>
      <c r="B16" s="23" t="s">
        <v>94</v>
      </c>
      <c r="C16" s="12"/>
      <c r="D16" s="81"/>
      <c r="E16" s="79"/>
      <c r="F16" s="11" t="s">
        <v>16</v>
      </c>
      <c r="G16" s="79"/>
      <c r="H16" s="79" t="s">
        <v>56</v>
      </c>
      <c r="I16" s="113"/>
      <c r="J16" s="11" t="s">
        <v>17</v>
      </c>
      <c r="K16" s="25"/>
    </row>
    <row r="17" spans="1:11" ht="18.75" customHeight="1">
      <c r="A17" s="127" t="s">
        <v>19</v>
      </c>
      <c r="B17" s="128"/>
      <c r="C17" s="128"/>
      <c r="D17" s="129"/>
      <c r="E17" s="129"/>
      <c r="F17" s="128"/>
      <c r="G17" s="129"/>
      <c r="H17" s="130"/>
      <c r="I17" s="155" t="s">
        <v>109</v>
      </c>
      <c r="J17" s="158" t="s">
        <v>110</v>
      </c>
      <c r="K17" s="27"/>
    </row>
    <row r="18" spans="1:11" ht="3.75" customHeight="1">
      <c r="A18" s="131"/>
      <c r="B18" s="132"/>
      <c r="C18" s="132"/>
      <c r="D18" s="133"/>
      <c r="E18" s="133"/>
      <c r="F18" s="132"/>
      <c r="G18" s="133"/>
      <c r="H18" s="134"/>
      <c r="I18" s="156"/>
      <c r="J18" s="159"/>
      <c r="K18" s="27"/>
    </row>
    <row r="19" spans="1:11" ht="12.75" customHeight="1">
      <c r="A19" s="135"/>
      <c r="B19" s="136"/>
      <c r="C19" s="136"/>
      <c r="D19" s="137"/>
      <c r="E19" s="137"/>
      <c r="F19" s="137"/>
      <c r="G19" s="138" t="s">
        <v>20</v>
      </c>
      <c r="H19" s="138" t="s">
        <v>21</v>
      </c>
      <c r="I19" s="156"/>
      <c r="J19" s="159"/>
      <c r="K19" s="27"/>
    </row>
    <row r="20" spans="1:11" ht="12" customHeight="1">
      <c r="A20" s="139" t="s">
        <v>22</v>
      </c>
      <c r="B20" s="136"/>
      <c r="C20" s="136"/>
      <c r="D20" s="140" t="s">
        <v>23</v>
      </c>
      <c r="E20" s="140" t="s">
        <v>108</v>
      </c>
      <c r="F20" s="140" t="s">
        <v>24</v>
      </c>
      <c r="G20" s="140" t="s">
        <v>25</v>
      </c>
      <c r="H20" s="140" t="s">
        <v>26</v>
      </c>
      <c r="I20" s="156"/>
      <c r="J20" s="159"/>
      <c r="K20" s="27"/>
    </row>
    <row r="21" spans="1:11" ht="7.5" customHeight="1" thickBot="1">
      <c r="A21" s="141"/>
      <c r="B21" s="142"/>
      <c r="C21" s="142"/>
      <c r="D21" s="143"/>
      <c r="E21" s="143"/>
      <c r="F21" s="143"/>
      <c r="G21" s="143"/>
      <c r="H21" s="143"/>
      <c r="I21" s="157"/>
      <c r="J21" s="160"/>
      <c r="K21" s="27"/>
    </row>
    <row r="22" spans="1:11" s="5" customFormat="1" ht="15" customHeight="1">
      <c r="A22" s="28" t="s">
        <v>77</v>
      </c>
      <c r="B22" s="29"/>
      <c r="C22" s="29"/>
      <c r="D22" s="30"/>
      <c r="E22" s="93"/>
      <c r="F22" s="30"/>
      <c r="G22" s="94"/>
      <c r="H22" s="94"/>
      <c r="I22" s="114"/>
      <c r="J22" s="31"/>
      <c r="K22" s="32">
        <f>+(H71+'[1]Hoja1'!$H$101)/2</f>
        <v>8429.120839817357</v>
      </c>
    </row>
    <row r="23" spans="1:11" s="5" customFormat="1" ht="12.75">
      <c r="A23" s="33" t="s">
        <v>78</v>
      </c>
      <c r="B23" s="29"/>
      <c r="C23" s="34"/>
      <c r="D23" s="82"/>
      <c r="E23" s="93">
        <v>0.16</v>
      </c>
      <c r="F23" s="35" t="s">
        <v>27</v>
      </c>
      <c r="G23" s="94">
        <v>3530</v>
      </c>
      <c r="H23" s="94">
        <f aca="true" t="shared" si="0" ref="H23:H30">IF(E23*G23,+E23*G23,"        ")</f>
        <v>564.8000000000001</v>
      </c>
      <c r="I23" s="115">
        <f>E23/B$13</f>
        <v>0.03470715835140998</v>
      </c>
      <c r="J23" s="36">
        <f aca="true" t="shared" si="1" ref="J23:J42">H23/H$71</f>
        <v>0.05563390880013805</v>
      </c>
      <c r="K23" s="37"/>
    </row>
    <row r="24" spans="1:11" s="5" customFormat="1" ht="12.75">
      <c r="A24" s="33" t="s">
        <v>67</v>
      </c>
      <c r="B24" s="29"/>
      <c r="C24" s="29"/>
      <c r="D24" s="30"/>
      <c r="E24" s="93">
        <f>7.36/45.79</f>
        <v>0.16073378466914173</v>
      </c>
      <c r="F24" s="35" t="s">
        <v>27</v>
      </c>
      <c r="G24" s="94">
        <v>2179</v>
      </c>
      <c r="H24" s="94">
        <f t="shared" si="0"/>
        <v>350.23891679405983</v>
      </c>
      <c r="I24" s="115">
        <f aca="true" t="shared" si="2" ref="I24:I40">E24/B$13</f>
        <v>0.034866330730833346</v>
      </c>
      <c r="J24" s="36">
        <f t="shared" si="1"/>
        <v>0.03449922088381704</v>
      </c>
      <c r="K24" s="37"/>
    </row>
    <row r="25" spans="1:11" s="5" customFormat="1" ht="12.75">
      <c r="A25" s="33" t="s">
        <v>68</v>
      </c>
      <c r="B25" s="29"/>
      <c r="C25" s="29"/>
      <c r="D25" s="30"/>
      <c r="E25" s="93">
        <f>14.39/47.39</f>
        <v>0.30365055918970246</v>
      </c>
      <c r="F25" s="35" t="s">
        <v>27</v>
      </c>
      <c r="G25" s="94">
        <v>2302</v>
      </c>
      <c r="H25" s="94">
        <f t="shared" si="0"/>
        <v>699.003587254695</v>
      </c>
      <c r="I25" s="115">
        <f t="shared" si="2"/>
        <v>0.06586780025806994</v>
      </c>
      <c r="J25" s="36">
        <f t="shared" si="1"/>
        <v>0.06885322560959108</v>
      </c>
      <c r="K25" s="37"/>
    </row>
    <row r="26" spans="1:11" s="5" customFormat="1" ht="12.75">
      <c r="A26" s="33" t="s">
        <v>69</v>
      </c>
      <c r="B26" s="29"/>
      <c r="C26" s="29"/>
      <c r="D26" s="38"/>
      <c r="E26" s="93">
        <f>11.29/48.66</f>
        <v>0.23201808466913276</v>
      </c>
      <c r="F26" s="35" t="s">
        <v>27</v>
      </c>
      <c r="G26" s="94">
        <v>1472</v>
      </c>
      <c r="H26" s="94">
        <f t="shared" si="0"/>
        <v>341.5306206329634</v>
      </c>
      <c r="I26" s="115">
        <f t="shared" si="2"/>
        <v>0.05032930253126524</v>
      </c>
      <c r="J26" s="36">
        <f t="shared" si="1"/>
        <v>0.03364143661605671</v>
      </c>
      <c r="K26" s="37"/>
    </row>
    <row r="27" spans="1:11" s="5" customFormat="1" ht="12.75">
      <c r="A27" s="33" t="s">
        <v>70</v>
      </c>
      <c r="B27" s="29"/>
      <c r="C27" s="29"/>
      <c r="D27" s="30"/>
      <c r="E27" s="93">
        <f>14.14/48.63</f>
        <v>0.2907670162451162</v>
      </c>
      <c r="F27" s="35" t="s">
        <v>27</v>
      </c>
      <c r="G27" s="97">
        <v>2272</v>
      </c>
      <c r="H27" s="94">
        <f t="shared" si="0"/>
        <v>660.622660908904</v>
      </c>
      <c r="I27" s="115">
        <f t="shared" si="2"/>
        <v>0.06307310547616403</v>
      </c>
      <c r="J27" s="36">
        <f t="shared" si="1"/>
        <v>0.06507262901613046</v>
      </c>
      <c r="K27" s="37"/>
    </row>
    <row r="28" spans="1:11" s="5" customFormat="1" ht="12.75">
      <c r="A28" s="33" t="s">
        <v>79</v>
      </c>
      <c r="B28" s="29"/>
      <c r="C28" s="39"/>
      <c r="D28" s="30"/>
      <c r="E28" s="93">
        <f>3.67/50.04</f>
        <v>0.07334132693844925</v>
      </c>
      <c r="F28" s="35" t="s">
        <v>28</v>
      </c>
      <c r="G28" s="94">
        <v>2000</v>
      </c>
      <c r="H28" s="94">
        <f t="shared" si="0"/>
        <v>146.68265387689848</v>
      </c>
      <c r="I28" s="115">
        <f t="shared" si="2"/>
        <v>0.01590918154847055</v>
      </c>
      <c r="J28" s="36">
        <f t="shared" si="1"/>
        <v>0.01444852937030734</v>
      </c>
      <c r="K28" s="37"/>
    </row>
    <row r="29" spans="1:11" s="5" customFormat="1" ht="12.75">
      <c r="A29" s="33" t="s">
        <v>84</v>
      </c>
      <c r="B29" s="29"/>
      <c r="C29" s="39"/>
      <c r="D29" s="30"/>
      <c r="E29" s="93">
        <f>2.82/45.82</f>
        <v>0.06154517677869925</v>
      </c>
      <c r="F29" s="35" t="s">
        <v>29</v>
      </c>
      <c r="G29" s="94">
        <v>3744</v>
      </c>
      <c r="H29" s="94">
        <f t="shared" si="0"/>
        <v>230.42514185945</v>
      </c>
      <c r="I29" s="115">
        <f t="shared" si="2"/>
        <v>0.01335036372639897</v>
      </c>
      <c r="J29" s="36">
        <f t="shared" si="1"/>
        <v>0.022697328837584123</v>
      </c>
      <c r="K29" s="37"/>
    </row>
    <row r="30" spans="1:11" ht="12.75">
      <c r="A30" s="33" t="s">
        <v>85</v>
      </c>
      <c r="B30" s="29"/>
      <c r="C30" s="39"/>
      <c r="D30" s="30"/>
      <c r="E30" s="93">
        <f>2.88/48.84</f>
        <v>0.05896805896805896</v>
      </c>
      <c r="F30" s="35" t="s">
        <v>29</v>
      </c>
      <c r="G30" s="94">
        <v>3500</v>
      </c>
      <c r="H30" s="94">
        <f t="shared" si="0"/>
        <v>206.38820638820638</v>
      </c>
      <c r="I30" s="115">
        <f t="shared" si="2"/>
        <v>0.012791336001748147</v>
      </c>
      <c r="J30" s="36">
        <f t="shared" si="1"/>
        <v>0.020329643505002732</v>
      </c>
      <c r="K30" s="24"/>
    </row>
    <row r="31" spans="1:11" ht="12.75">
      <c r="A31" s="33" t="s">
        <v>86</v>
      </c>
      <c r="B31" s="29"/>
      <c r="C31" s="39"/>
      <c r="D31" s="30"/>
      <c r="E31" s="93">
        <f>1.89/48.92</f>
        <v>0.03863450531479967</v>
      </c>
      <c r="F31" s="35" t="s">
        <v>28</v>
      </c>
      <c r="G31" s="94">
        <v>3250</v>
      </c>
      <c r="H31" s="94">
        <f aca="true" t="shared" si="3" ref="H31:H40">IF(E31*G31,+E31*G31,"        ")</f>
        <v>125.56214227309893</v>
      </c>
      <c r="I31" s="115">
        <f t="shared" si="2"/>
        <v>0.008380586836182142</v>
      </c>
      <c r="J31" s="36">
        <f t="shared" si="1"/>
        <v>0.012368117514113923</v>
      </c>
      <c r="K31" s="24"/>
    </row>
    <row r="32" spans="1:11" ht="14.25" customHeight="1">
      <c r="A32" s="33" t="s">
        <v>71</v>
      </c>
      <c r="B32" s="29"/>
      <c r="C32" s="39"/>
      <c r="D32" s="30"/>
      <c r="E32" s="93">
        <f>1.53/49.92</f>
        <v>0.03064903846153846</v>
      </c>
      <c r="F32" s="35" t="s">
        <v>29</v>
      </c>
      <c r="G32" s="94">
        <v>1896</v>
      </c>
      <c r="H32" s="94">
        <f t="shared" si="3"/>
        <v>58.11057692307692</v>
      </c>
      <c r="I32" s="115">
        <f t="shared" si="2"/>
        <v>0.006648381445019188</v>
      </c>
      <c r="J32" s="36">
        <f t="shared" si="1"/>
        <v>0.005724005908041551</v>
      </c>
      <c r="K32" s="24"/>
    </row>
    <row r="33" spans="1:11" ht="12.75">
      <c r="A33" s="33" t="s">
        <v>80</v>
      </c>
      <c r="B33" s="29"/>
      <c r="C33" s="39"/>
      <c r="D33" s="30"/>
      <c r="E33" s="93">
        <f>0.88/51.48</f>
        <v>0.017094017094017096</v>
      </c>
      <c r="F33" s="35" t="s">
        <v>28</v>
      </c>
      <c r="G33" s="94">
        <v>2500</v>
      </c>
      <c r="H33" s="94">
        <f t="shared" si="3"/>
        <v>42.73504273504274</v>
      </c>
      <c r="I33" s="115">
        <f t="shared" si="2"/>
        <v>0.003708029738398502</v>
      </c>
      <c r="J33" s="36">
        <f t="shared" si="1"/>
        <v>0.004209485605685853</v>
      </c>
      <c r="K33" s="24"/>
    </row>
    <row r="34" spans="1:11" ht="12.75">
      <c r="A34" s="33" t="s">
        <v>81</v>
      </c>
      <c r="B34" s="29"/>
      <c r="C34" s="40"/>
      <c r="D34" s="30"/>
      <c r="E34" s="93">
        <f>2.72/50.6</f>
        <v>0.05375494071146245</v>
      </c>
      <c r="F34" s="35" t="s">
        <v>29</v>
      </c>
      <c r="G34" s="94">
        <v>1850</v>
      </c>
      <c r="H34" s="94">
        <f t="shared" si="3"/>
        <v>99.44664031620553</v>
      </c>
      <c r="I34" s="115">
        <f t="shared" si="2"/>
        <v>0.011660507746521139</v>
      </c>
      <c r="J34" s="36">
        <f t="shared" si="1"/>
        <v>0.009795689302110323</v>
      </c>
      <c r="K34" s="24"/>
    </row>
    <row r="35" spans="1:11" ht="13.5" customHeight="1">
      <c r="A35" s="33" t="s">
        <v>83</v>
      </c>
      <c r="B35" s="29"/>
      <c r="C35" s="39"/>
      <c r="D35" s="30"/>
      <c r="E35" s="93">
        <f>3.57/43.11</f>
        <v>0.08281141266527488</v>
      </c>
      <c r="F35" s="35" t="s">
        <v>29</v>
      </c>
      <c r="G35" s="94">
        <v>1250</v>
      </c>
      <c r="H35" s="94">
        <f t="shared" si="3"/>
        <v>103.51426583159359</v>
      </c>
      <c r="I35" s="115">
        <f t="shared" si="2"/>
        <v>0.01796343007923533</v>
      </c>
      <c r="J35" s="36">
        <f t="shared" si="1"/>
        <v>0.010196358400828831</v>
      </c>
      <c r="K35" s="24"/>
    </row>
    <row r="36" spans="1:11" ht="12.75">
      <c r="A36" s="33" t="s">
        <v>93</v>
      </c>
      <c r="B36" s="29"/>
      <c r="C36" s="39"/>
      <c r="D36" s="30"/>
      <c r="E36" s="93">
        <f>3.38/49.2</f>
        <v>0.06869918699186991</v>
      </c>
      <c r="F36" s="35" t="s">
        <v>29</v>
      </c>
      <c r="G36" s="94">
        <v>1550</v>
      </c>
      <c r="H36" s="94">
        <f t="shared" si="3"/>
        <v>106.48373983739837</v>
      </c>
      <c r="I36" s="115">
        <f t="shared" si="2"/>
        <v>0.01490220975962471</v>
      </c>
      <c r="J36" s="36">
        <f t="shared" si="1"/>
        <v>0.01048885741999194</v>
      </c>
      <c r="K36" s="24"/>
    </row>
    <row r="37" spans="1:11" ht="12.75">
      <c r="A37" s="33" t="s">
        <v>92</v>
      </c>
      <c r="B37" s="29"/>
      <c r="C37" s="39"/>
      <c r="D37" s="30"/>
      <c r="E37" s="93">
        <f>6.73/44.76</f>
        <v>0.15035746201966044</v>
      </c>
      <c r="F37" s="35" t="s">
        <v>29</v>
      </c>
      <c r="G37" s="94">
        <v>1150</v>
      </c>
      <c r="H37" s="94">
        <f t="shared" si="3"/>
        <v>172.9110813226095</v>
      </c>
      <c r="I37" s="115">
        <f t="shared" si="2"/>
        <v>0.032615501522702914</v>
      </c>
      <c r="J37" s="36">
        <f t="shared" si="1"/>
        <v>0.017032080964651752</v>
      </c>
      <c r="K37" s="24"/>
    </row>
    <row r="38" spans="1:11" ht="12.75">
      <c r="A38" s="33" t="s">
        <v>91</v>
      </c>
      <c r="B38" s="33"/>
      <c r="C38" s="39"/>
      <c r="D38" s="30"/>
      <c r="E38" s="94">
        <v>0.1875</v>
      </c>
      <c r="F38" s="35" t="s">
        <v>28</v>
      </c>
      <c r="G38" s="94">
        <v>2179</v>
      </c>
      <c r="H38" s="94">
        <f t="shared" si="3"/>
        <v>408.5625</v>
      </c>
      <c r="I38" s="115">
        <f t="shared" si="2"/>
        <v>0.04067245119305857</v>
      </c>
      <c r="J38" s="36">
        <f t="shared" si="1"/>
        <v>0.04024420832888881</v>
      </c>
      <c r="K38" s="24"/>
    </row>
    <row r="39" spans="1:11" ht="12.75">
      <c r="A39" s="33" t="s">
        <v>82</v>
      </c>
      <c r="B39" s="29"/>
      <c r="C39" s="39"/>
      <c r="D39" s="30"/>
      <c r="E39" s="93">
        <v>0.0472</v>
      </c>
      <c r="F39" s="35" t="s">
        <v>28</v>
      </c>
      <c r="G39" s="94">
        <v>3441</v>
      </c>
      <c r="H39" s="94">
        <f t="shared" si="3"/>
        <v>162.4152</v>
      </c>
      <c r="I39" s="115">
        <f t="shared" si="2"/>
        <v>0.010238611713665942</v>
      </c>
      <c r="J39" s="36">
        <f t="shared" si="1"/>
        <v>0.01599821604914338</v>
      </c>
      <c r="K39" s="24"/>
    </row>
    <row r="40" spans="1:11" ht="12.75">
      <c r="A40" s="33" t="s">
        <v>72</v>
      </c>
      <c r="B40" s="29"/>
      <c r="C40" s="29"/>
      <c r="D40" s="30"/>
      <c r="E40" s="93">
        <v>1</v>
      </c>
      <c r="F40" s="35" t="s">
        <v>30</v>
      </c>
      <c r="G40" s="94">
        <v>750</v>
      </c>
      <c r="H40" s="94">
        <f t="shared" si="3"/>
        <v>750</v>
      </c>
      <c r="I40" s="115">
        <f t="shared" si="2"/>
        <v>0.21691973969631234</v>
      </c>
      <c r="J40" s="36">
        <f t="shared" si="1"/>
        <v>0.07387647237978671</v>
      </c>
      <c r="K40" s="24"/>
    </row>
    <row r="41" spans="1:12" s="6" customFormat="1" ht="12.75">
      <c r="A41" s="33" t="s">
        <v>73</v>
      </c>
      <c r="B41" s="29"/>
      <c r="C41" s="29"/>
      <c r="D41" s="30"/>
      <c r="E41" s="93">
        <v>1</v>
      </c>
      <c r="F41" s="35" t="s">
        <v>30</v>
      </c>
      <c r="G41" s="94">
        <v>300</v>
      </c>
      <c r="H41" s="94">
        <f>IF(E41*G41,+E41*G41,"        ")</f>
        <v>300</v>
      </c>
      <c r="I41" s="115">
        <f>E41/B$13</f>
        <v>0.21691973969631234</v>
      </c>
      <c r="J41" s="36">
        <f t="shared" si="1"/>
        <v>0.029550588951914685</v>
      </c>
      <c r="K41" s="27"/>
      <c r="L41" s="1"/>
    </row>
    <row r="42" spans="1:12" ht="12.75">
      <c r="A42" s="33" t="s">
        <v>99</v>
      </c>
      <c r="B42" s="29"/>
      <c r="C42" s="29"/>
      <c r="D42" s="30"/>
      <c r="E42" s="93">
        <v>0.2213</v>
      </c>
      <c r="F42" s="35" t="s">
        <v>31</v>
      </c>
      <c r="G42" s="94">
        <v>600</v>
      </c>
      <c r="H42" s="94">
        <f>IF(E42*G42,+E42*G42,"        ")</f>
        <v>132.78</v>
      </c>
      <c r="I42" s="115">
        <f>E42/B$13</f>
        <v>0.04800433839479392</v>
      </c>
      <c r="J42" s="36">
        <f t="shared" si="1"/>
        <v>0.013079090670117439</v>
      </c>
      <c r="K42" s="27"/>
      <c r="L42" s="6"/>
    </row>
    <row r="43" spans="1:12" s="4" customFormat="1" ht="19.5" customHeight="1">
      <c r="A43" s="28" t="s">
        <v>32</v>
      </c>
      <c r="B43" s="29"/>
      <c r="C43" s="29"/>
      <c r="D43" s="30"/>
      <c r="E43" s="93"/>
      <c r="F43" s="30"/>
      <c r="G43" s="94"/>
      <c r="H43" s="94"/>
      <c r="I43" s="115"/>
      <c r="J43" s="36"/>
      <c r="K43" s="42"/>
      <c r="L43" s="6"/>
    </row>
    <row r="44" spans="1:12" ht="26.25" customHeight="1">
      <c r="A44" s="151" t="s">
        <v>76</v>
      </c>
      <c r="B44" s="152"/>
      <c r="C44" s="153"/>
      <c r="D44" s="30"/>
      <c r="E44" s="93">
        <v>1</v>
      </c>
      <c r="F44" s="35" t="s">
        <v>30</v>
      </c>
      <c r="G44" s="94">
        <v>375</v>
      </c>
      <c r="H44" s="94">
        <f>IF(E44*G44,+E44*G44,"        ")</f>
        <v>375</v>
      </c>
      <c r="I44" s="115">
        <f>E44/B$13</f>
        <v>0.21691973969631234</v>
      </c>
      <c r="J44" s="36">
        <f aca="true" t="shared" si="4" ref="J44:J51">H44/H$71</f>
        <v>0.03693823618989336</v>
      </c>
      <c r="K44" s="27"/>
      <c r="L44" s="6"/>
    </row>
    <row r="45" spans="1:12" ht="12.75">
      <c r="A45" s="33" t="s">
        <v>74</v>
      </c>
      <c r="B45" s="29"/>
      <c r="C45" s="39"/>
      <c r="D45" s="30"/>
      <c r="E45" s="93">
        <v>1</v>
      </c>
      <c r="F45" s="35" t="s">
        <v>30</v>
      </c>
      <c r="G45" s="94">
        <v>325</v>
      </c>
      <c r="H45" s="94">
        <f>IF(E45*G45,+E45*G45,"        ")</f>
        <v>325</v>
      </c>
      <c r="I45" s="115">
        <f>E45/B$13</f>
        <v>0.21691973969631234</v>
      </c>
      <c r="J45" s="36">
        <f t="shared" si="4"/>
        <v>0.03201313803124091</v>
      </c>
      <c r="K45" s="27"/>
      <c r="L45" s="6"/>
    </row>
    <row r="46" spans="1:12" ht="12.75">
      <c r="A46" s="33" t="s">
        <v>75</v>
      </c>
      <c r="B46" s="29"/>
      <c r="C46" s="40"/>
      <c r="D46" s="30"/>
      <c r="E46" s="93">
        <v>1</v>
      </c>
      <c r="F46" s="35" t="s">
        <v>30</v>
      </c>
      <c r="G46" s="94">
        <v>500</v>
      </c>
      <c r="H46" s="94">
        <f>IF(E46*G46,+E46*G46,"        ")</f>
        <v>500</v>
      </c>
      <c r="I46" s="115">
        <f>E46/B$13</f>
        <v>0.21691973969631234</v>
      </c>
      <c r="J46" s="36">
        <f t="shared" si="4"/>
        <v>0.049250981586524474</v>
      </c>
      <c r="K46" s="27"/>
      <c r="L46" s="6"/>
    </row>
    <row r="47" spans="1:11" ht="12.75">
      <c r="A47" s="33" t="s">
        <v>33</v>
      </c>
      <c r="B47" s="29"/>
      <c r="C47" s="39"/>
      <c r="D47" s="30" t="s">
        <v>34</v>
      </c>
      <c r="E47" s="93">
        <v>0.0937</v>
      </c>
      <c r="F47" s="35" t="s">
        <v>31</v>
      </c>
      <c r="G47" s="94">
        <v>600</v>
      </c>
      <c r="H47" s="94">
        <f>IF(E47*G47,+E47*G47,"        ")</f>
        <v>56.220000000000006</v>
      </c>
      <c r="I47" s="115">
        <f>E47/B$13</f>
        <v>0.020325379609544468</v>
      </c>
      <c r="J47" s="36">
        <f t="shared" si="4"/>
        <v>0.005537780369588813</v>
      </c>
      <c r="K47" s="24"/>
    </row>
    <row r="48" spans="1:11" ht="12.75">
      <c r="A48" s="33" t="s">
        <v>57</v>
      </c>
      <c r="B48" s="29"/>
      <c r="C48" s="39"/>
      <c r="D48" s="30"/>
      <c r="E48" s="93">
        <v>0.095</v>
      </c>
      <c r="F48" s="35" t="s">
        <v>31</v>
      </c>
      <c r="G48" s="94">
        <v>600</v>
      </c>
      <c r="H48" s="94">
        <f>IF(E48*G48,+E48*G48,"        ")</f>
        <v>57</v>
      </c>
      <c r="I48" s="115">
        <f>E48/B$13</f>
        <v>0.020607375271149673</v>
      </c>
      <c r="J48" s="36">
        <f t="shared" si="4"/>
        <v>0.00561461190086379</v>
      </c>
      <c r="K48" s="24"/>
    </row>
    <row r="49" spans="1:11" ht="25.5" customHeight="1">
      <c r="A49" s="151" t="s">
        <v>100</v>
      </c>
      <c r="B49" s="152"/>
      <c r="C49" s="153"/>
      <c r="D49" s="30"/>
      <c r="E49" s="74">
        <v>0.0625</v>
      </c>
      <c r="F49" s="35" t="s">
        <v>31</v>
      </c>
      <c r="G49" s="94">
        <v>600</v>
      </c>
      <c r="H49" s="94">
        <v>37.5</v>
      </c>
      <c r="I49" s="115">
        <v>0.013557483731019521</v>
      </c>
      <c r="J49" s="36">
        <f t="shared" si="4"/>
        <v>0.0036938236189893356</v>
      </c>
      <c r="K49" s="24"/>
    </row>
    <row r="50" spans="1:11" ht="27" customHeight="1">
      <c r="A50" s="151" t="s">
        <v>101</v>
      </c>
      <c r="B50" s="152"/>
      <c r="C50" s="153"/>
      <c r="D50" s="30"/>
      <c r="E50" s="93">
        <v>0.1362</v>
      </c>
      <c r="F50" s="35" t="s">
        <v>31</v>
      </c>
      <c r="G50" s="94">
        <v>600</v>
      </c>
      <c r="H50" s="94">
        <v>81.72</v>
      </c>
      <c r="I50" s="115">
        <v>0.02954446854663774</v>
      </c>
      <c r="J50" s="36">
        <f t="shared" si="4"/>
        <v>0.00804958043050156</v>
      </c>
      <c r="K50" s="24"/>
    </row>
    <row r="51" spans="1:11" ht="28.5" customHeight="1" thickBot="1">
      <c r="A51" s="151" t="s">
        <v>102</v>
      </c>
      <c r="B51" s="152"/>
      <c r="C51" s="153"/>
      <c r="D51" s="30"/>
      <c r="E51" s="93">
        <v>0.075</v>
      </c>
      <c r="F51" s="35" t="s">
        <v>31</v>
      </c>
      <c r="G51" s="94">
        <v>600</v>
      </c>
      <c r="H51" s="94">
        <v>45</v>
      </c>
      <c r="I51" s="115">
        <v>0.016268980477223426</v>
      </c>
      <c r="J51" s="36">
        <f t="shared" si="4"/>
        <v>0.004432588342787203</v>
      </c>
      <c r="K51" s="24"/>
    </row>
    <row r="52" spans="1:11" ht="7.5" customHeight="1" thickBo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24"/>
    </row>
    <row r="53" spans="1:11" ht="15" customHeight="1">
      <c r="A53" s="33" t="s">
        <v>87</v>
      </c>
      <c r="B53" s="29"/>
      <c r="C53" s="39"/>
      <c r="D53" s="30" t="s">
        <v>35</v>
      </c>
      <c r="E53" s="93">
        <v>0.095</v>
      </c>
      <c r="F53" s="35" t="s">
        <v>31</v>
      </c>
      <c r="G53" s="94">
        <v>600</v>
      </c>
      <c r="H53" s="94">
        <f>IF(E53*G53,+E53*G53,"        ")</f>
        <v>57</v>
      </c>
      <c r="I53" s="115">
        <f>E53/B$13</f>
        <v>0.020607375271149673</v>
      </c>
      <c r="J53" s="36">
        <f aca="true" t="shared" si="5" ref="J53:J65">H53/H$71</f>
        <v>0.00561461190086379</v>
      </c>
      <c r="K53" s="24"/>
    </row>
    <row r="54" spans="1:11" ht="12.75">
      <c r="A54" s="33" t="s">
        <v>36</v>
      </c>
      <c r="B54" s="29"/>
      <c r="C54" s="29"/>
      <c r="D54" s="30"/>
      <c r="E54" s="93">
        <v>0.5375</v>
      </c>
      <c r="F54" s="35" t="s">
        <v>31</v>
      </c>
      <c r="G54" s="94">
        <v>600</v>
      </c>
      <c r="H54" s="94">
        <f>IF(E54*G54,+E54*G54,"        ")</f>
        <v>322.5</v>
      </c>
      <c r="I54" s="115">
        <f>E54/B$13</f>
        <v>0.11659436008676788</v>
      </c>
      <c r="J54" s="36">
        <f t="shared" si="5"/>
        <v>0.03176688312330828</v>
      </c>
      <c r="K54" s="24"/>
    </row>
    <row r="55" spans="1:11" ht="26.25" customHeight="1">
      <c r="A55" s="151" t="s">
        <v>103</v>
      </c>
      <c r="B55" s="152"/>
      <c r="C55" s="153"/>
      <c r="D55" s="30"/>
      <c r="E55" s="93">
        <v>0.0625</v>
      </c>
      <c r="F55" s="35" t="s">
        <v>31</v>
      </c>
      <c r="G55" s="94">
        <v>600</v>
      </c>
      <c r="H55" s="94">
        <v>37.5</v>
      </c>
      <c r="I55" s="115">
        <v>0.013557483731019521</v>
      </c>
      <c r="J55" s="36">
        <f t="shared" si="5"/>
        <v>0.0036938236189893356</v>
      </c>
      <c r="K55" s="24"/>
    </row>
    <row r="56" spans="1:11" ht="12.75">
      <c r="A56" s="33" t="s">
        <v>88</v>
      </c>
      <c r="B56" s="29"/>
      <c r="C56" s="39"/>
      <c r="D56" s="30" t="s">
        <v>37</v>
      </c>
      <c r="E56" s="93">
        <v>0.095</v>
      </c>
      <c r="F56" s="35" t="s">
        <v>31</v>
      </c>
      <c r="G56" s="94">
        <v>600</v>
      </c>
      <c r="H56" s="94">
        <f>IF(E56*G56,+E56*G56,"        ")</f>
        <v>57</v>
      </c>
      <c r="I56" s="115">
        <f>E56/B$13</f>
        <v>0.020607375271149673</v>
      </c>
      <c r="J56" s="36">
        <f t="shared" si="5"/>
        <v>0.00561461190086379</v>
      </c>
      <c r="K56" s="24"/>
    </row>
    <row r="57" spans="1:11" ht="12.75">
      <c r="A57" s="33" t="s">
        <v>62</v>
      </c>
      <c r="B57" s="29"/>
      <c r="C57" s="29"/>
      <c r="D57" s="30"/>
      <c r="E57" s="93">
        <v>0.5375</v>
      </c>
      <c r="F57" s="35" t="s">
        <v>31</v>
      </c>
      <c r="G57" s="94">
        <v>600</v>
      </c>
      <c r="H57" s="94">
        <f>IF(E57*G57,+E57*G57,"        ")</f>
        <v>322.5</v>
      </c>
      <c r="I57" s="115">
        <f>E57/B$13</f>
        <v>0.11659436008676788</v>
      </c>
      <c r="J57" s="36">
        <f t="shared" si="5"/>
        <v>0.03176688312330828</v>
      </c>
      <c r="K57" s="24"/>
    </row>
    <row r="58" spans="1:11" ht="26.25" customHeight="1">
      <c r="A58" s="151" t="s">
        <v>104</v>
      </c>
      <c r="B58" s="152"/>
      <c r="C58" s="153"/>
      <c r="D58" s="30"/>
      <c r="E58" s="93">
        <v>0.0625</v>
      </c>
      <c r="F58" s="35" t="s">
        <v>31</v>
      </c>
      <c r="G58" s="94">
        <v>600</v>
      </c>
      <c r="H58" s="94">
        <v>37.5</v>
      </c>
      <c r="I58" s="115">
        <v>0.013557483731019521</v>
      </c>
      <c r="J58" s="36">
        <f t="shared" si="5"/>
        <v>0.0036938236189893356</v>
      </c>
      <c r="K58" s="24"/>
    </row>
    <row r="59" spans="1:11" ht="27" customHeight="1">
      <c r="A59" s="151" t="s">
        <v>105</v>
      </c>
      <c r="B59" s="152"/>
      <c r="C59" s="153"/>
      <c r="D59" s="30"/>
      <c r="E59" s="93">
        <v>0.0513</v>
      </c>
      <c r="F59" s="35" t="s">
        <v>31</v>
      </c>
      <c r="G59" s="94">
        <v>600</v>
      </c>
      <c r="H59" s="94">
        <v>30.779999999999998</v>
      </c>
      <c r="I59" s="115">
        <v>0.011127982646420823</v>
      </c>
      <c r="J59" s="36">
        <f t="shared" si="5"/>
        <v>0.003031890426466446</v>
      </c>
      <c r="K59" s="24"/>
    </row>
    <row r="60" spans="1:11" ht="12.75">
      <c r="A60" s="33" t="s">
        <v>89</v>
      </c>
      <c r="B60" s="29"/>
      <c r="C60" s="39"/>
      <c r="D60" s="30" t="s">
        <v>38</v>
      </c>
      <c r="E60" s="93">
        <v>0.095</v>
      </c>
      <c r="F60" s="35" t="s">
        <v>31</v>
      </c>
      <c r="G60" s="94">
        <v>600</v>
      </c>
      <c r="H60" s="94">
        <f>IF(E60*G60,+E60*G60,"        ")</f>
        <v>57</v>
      </c>
      <c r="I60" s="115">
        <f>E60/B$13</f>
        <v>0.020607375271149673</v>
      </c>
      <c r="J60" s="36">
        <f t="shared" si="5"/>
        <v>0.00561461190086379</v>
      </c>
      <c r="K60" s="24"/>
    </row>
    <row r="61" spans="1:11" ht="12.75">
      <c r="A61" s="33" t="s">
        <v>63</v>
      </c>
      <c r="B61" s="29"/>
      <c r="C61" s="39"/>
      <c r="D61" s="30"/>
      <c r="E61" s="93">
        <v>0.5375</v>
      </c>
      <c r="F61" s="35" t="s">
        <v>31</v>
      </c>
      <c r="G61" s="94">
        <v>600</v>
      </c>
      <c r="H61" s="94">
        <f>IF(E61*G61,+E61*G61,"        ")</f>
        <v>322.5</v>
      </c>
      <c r="I61" s="115">
        <f>E61/B$13</f>
        <v>0.11659436008676788</v>
      </c>
      <c r="J61" s="36">
        <f t="shared" si="5"/>
        <v>0.03176688312330828</v>
      </c>
      <c r="K61" s="24"/>
    </row>
    <row r="62" spans="1:11" ht="27.75" customHeight="1">
      <c r="A62" s="151" t="s">
        <v>106</v>
      </c>
      <c r="B62" s="152"/>
      <c r="C62" s="153"/>
      <c r="D62" s="30"/>
      <c r="E62" s="93">
        <v>0.0513</v>
      </c>
      <c r="F62" s="35" t="s">
        <v>31</v>
      </c>
      <c r="G62" s="94">
        <v>600</v>
      </c>
      <c r="H62" s="94">
        <v>30.779999999999998</v>
      </c>
      <c r="I62" s="115">
        <v>0.011127982646420823</v>
      </c>
      <c r="J62" s="36">
        <f t="shared" si="5"/>
        <v>0.003031890426466446</v>
      </c>
      <c r="K62" s="24"/>
    </row>
    <row r="63" spans="1:11" ht="12.75">
      <c r="A63" s="41" t="s">
        <v>64</v>
      </c>
      <c r="B63" s="29"/>
      <c r="C63" s="29"/>
      <c r="D63" s="30"/>
      <c r="E63" s="93">
        <v>0.05</v>
      </c>
      <c r="F63" s="35" t="s">
        <v>31</v>
      </c>
      <c r="G63" s="94">
        <v>600</v>
      </c>
      <c r="H63" s="94">
        <f>IF(E63*G63,+E63*G63,"        ")</f>
        <v>30</v>
      </c>
      <c r="I63" s="115">
        <f>E63/B$13</f>
        <v>0.010845986984815618</v>
      </c>
      <c r="J63" s="36">
        <f t="shared" si="5"/>
        <v>0.0029550588951914683</v>
      </c>
      <c r="K63" s="24"/>
    </row>
    <row r="64" spans="1:11" ht="12.75">
      <c r="A64" s="33" t="s">
        <v>65</v>
      </c>
      <c r="B64" s="29"/>
      <c r="C64" s="29"/>
      <c r="D64" s="35" t="s">
        <v>39</v>
      </c>
      <c r="E64" s="93">
        <v>1</v>
      </c>
      <c r="F64" s="35" t="s">
        <v>30</v>
      </c>
      <c r="G64" s="94">
        <v>875</v>
      </c>
      <c r="H64" s="94">
        <f>IF(E64*G64,+E64*G64,"        ")</f>
        <v>875</v>
      </c>
      <c r="I64" s="115">
        <f>E64/B$13</f>
        <v>0.21691973969631234</v>
      </c>
      <c r="J64" s="36">
        <f t="shared" si="5"/>
        <v>0.08618921777641783</v>
      </c>
      <c r="K64" s="24"/>
    </row>
    <row r="65" spans="1:11" ht="13.5" thickBot="1">
      <c r="A65" s="44" t="s">
        <v>66</v>
      </c>
      <c r="B65" s="45"/>
      <c r="C65" s="45"/>
      <c r="D65" s="46"/>
      <c r="E65" s="95">
        <v>0.4175</v>
      </c>
      <c r="F65" s="47" t="s">
        <v>31</v>
      </c>
      <c r="G65" s="98">
        <v>600</v>
      </c>
      <c r="H65" s="98">
        <f>IF(E65*G65,+E65*G65,"        ")</f>
        <v>250.5</v>
      </c>
      <c r="I65" s="116">
        <f>E65/B$13</f>
        <v>0.0905639913232104</v>
      </c>
      <c r="J65" s="48">
        <f t="shared" si="5"/>
        <v>0.02467474177484876</v>
      </c>
      <c r="K65" s="24"/>
    </row>
    <row r="66" spans="1:11" s="3" customFormat="1" ht="11.25" customHeight="1" thickBot="1">
      <c r="A66" s="26"/>
      <c r="B66" s="26"/>
      <c r="C66" s="26"/>
      <c r="D66" s="49"/>
      <c r="E66" s="49"/>
      <c r="F66" s="26"/>
      <c r="G66" s="49"/>
      <c r="H66" s="49"/>
      <c r="I66" s="117"/>
      <c r="J66" s="29"/>
      <c r="K66" s="43"/>
    </row>
    <row r="67" spans="1:11" ht="12.75">
      <c r="A67" s="50" t="s">
        <v>40</v>
      </c>
      <c r="B67" s="51"/>
      <c r="C67" s="52"/>
      <c r="D67" s="83"/>
      <c r="E67" s="96"/>
      <c r="F67" s="51"/>
      <c r="G67" s="99"/>
      <c r="H67" s="104">
        <f>+SUM(H23:H65)</f>
        <v>9570.212976954203</v>
      </c>
      <c r="I67" s="117"/>
      <c r="J67" s="12"/>
      <c r="K67" s="24"/>
    </row>
    <row r="68" spans="1:11" ht="12.75">
      <c r="A68" s="33" t="s">
        <v>41</v>
      </c>
      <c r="B68" s="29"/>
      <c r="C68" s="26"/>
      <c r="D68" s="49"/>
      <c r="E68" s="49"/>
      <c r="F68" s="26"/>
      <c r="G68" s="100"/>
      <c r="H68" s="105">
        <f>(H67*0.02)</f>
        <v>191.40425953908405</v>
      </c>
      <c r="I68" s="118"/>
      <c r="J68" s="12"/>
      <c r="K68" s="24"/>
    </row>
    <row r="69" spans="1:11" ht="12.75">
      <c r="A69" s="33" t="s">
        <v>42</v>
      </c>
      <c r="B69" s="29"/>
      <c r="C69" s="26"/>
      <c r="D69" s="49"/>
      <c r="E69" s="49"/>
      <c r="F69" s="26"/>
      <c r="G69" s="100"/>
      <c r="H69" s="106">
        <v>0</v>
      </c>
      <c r="I69" s="119">
        <f>+H68+H70</f>
        <v>581.8689489988155</v>
      </c>
      <c r="J69" s="53"/>
      <c r="K69" s="24"/>
    </row>
    <row r="70" spans="1:11" ht="12.75">
      <c r="A70" s="33" t="s">
        <v>90</v>
      </c>
      <c r="B70" s="29"/>
      <c r="C70" s="29"/>
      <c r="D70" s="84"/>
      <c r="E70" s="84"/>
      <c r="F70" s="29"/>
      <c r="G70" s="84"/>
      <c r="H70" s="106">
        <f>SUM(H67:H68)*0.04</f>
        <v>390.46468945973146</v>
      </c>
      <c r="I70" s="118"/>
      <c r="J70" s="54"/>
      <c r="K70" s="24"/>
    </row>
    <row r="71" spans="1:11" ht="15" customHeight="1" thickBot="1">
      <c r="A71" s="60" t="s">
        <v>43</v>
      </c>
      <c r="B71" s="61"/>
      <c r="C71" s="61"/>
      <c r="D71" s="85"/>
      <c r="E71" s="85"/>
      <c r="F71" s="61"/>
      <c r="G71" s="101"/>
      <c r="H71" s="107">
        <f>SUM(H67:H70)</f>
        <v>10152.081925953018</v>
      </c>
      <c r="I71" s="120"/>
      <c r="J71" s="64"/>
      <c r="K71" s="62">
        <f>8/12</f>
        <v>0.6666666666666666</v>
      </c>
    </row>
    <row r="72" spans="1:11" ht="11.25" customHeight="1" thickBo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62">
        <f>+K71*6</f>
        <v>4</v>
      </c>
    </row>
    <row r="73" spans="1:11" ht="14.25" customHeight="1">
      <c r="A73" s="65" t="s">
        <v>44</v>
      </c>
      <c r="B73" s="66"/>
      <c r="C73" s="67">
        <v>0</v>
      </c>
      <c r="D73" s="86">
        <f>(C73/H71)</f>
        <v>0</v>
      </c>
      <c r="E73" s="164" t="s">
        <v>45</v>
      </c>
      <c r="F73" s="165"/>
      <c r="G73" s="102">
        <f>SUM(H47:H65)+H42</f>
        <v>2840.78</v>
      </c>
      <c r="H73" s="108">
        <f>(G73/H67)</f>
        <v>0.29683560928485225</v>
      </c>
      <c r="I73" s="121"/>
      <c r="J73" s="68"/>
      <c r="K73" s="12"/>
    </row>
    <row r="74" spans="1:11" ht="18.75" customHeight="1" thickBot="1">
      <c r="A74" s="69" t="s">
        <v>46</v>
      </c>
      <c r="B74" s="70"/>
      <c r="C74" s="71">
        <f>SUM(H44:H46)</f>
        <v>1200</v>
      </c>
      <c r="D74" s="87">
        <f>(C74/H71)</f>
        <v>0.11820235580765874</v>
      </c>
      <c r="E74" s="166" t="s">
        <v>47</v>
      </c>
      <c r="F74" s="167"/>
      <c r="G74" s="103">
        <f>SUM(H23:H41)</f>
        <v>5529.432976954203</v>
      </c>
      <c r="H74" s="109">
        <f>(G74/H67)</f>
        <v>0.5777753316743834</v>
      </c>
      <c r="I74" s="122"/>
      <c r="J74" s="72"/>
      <c r="K74" s="63"/>
    </row>
    <row r="75" spans="1:11" ht="14.25" customHeight="1">
      <c r="A75" s="148" t="s">
        <v>60</v>
      </c>
      <c r="B75" s="148"/>
      <c r="C75" s="148"/>
      <c r="D75" s="148"/>
      <c r="E75" s="148"/>
      <c r="F75" s="148"/>
      <c r="G75" s="148"/>
      <c r="H75" s="148"/>
      <c r="I75" s="148"/>
      <c r="J75" s="148"/>
      <c r="K75" s="24"/>
    </row>
    <row r="76" spans="1:11" ht="14.25" customHeight="1">
      <c r="A76" s="55" t="s">
        <v>61</v>
      </c>
      <c r="B76" s="55"/>
      <c r="C76" s="55"/>
      <c r="D76" s="79"/>
      <c r="E76" s="79"/>
      <c r="F76" s="55"/>
      <c r="G76" s="79"/>
      <c r="H76" s="79"/>
      <c r="I76" s="113"/>
      <c r="J76" s="55"/>
      <c r="K76" s="24"/>
    </row>
    <row r="77" spans="1:11" s="2" customFormat="1" ht="39.75" customHeight="1">
      <c r="A77" s="147" t="s">
        <v>95</v>
      </c>
      <c r="B77" s="147"/>
      <c r="C77" s="147"/>
      <c r="D77" s="147"/>
      <c r="E77" s="147"/>
      <c r="F77" s="147"/>
      <c r="G77" s="147"/>
      <c r="H77" s="147"/>
      <c r="I77" s="147"/>
      <c r="J77" s="147"/>
      <c r="K77" s="56"/>
    </row>
    <row r="78" spans="1:10" s="2" customFormat="1" ht="15.75" customHeight="1">
      <c r="A78" s="145" t="s">
        <v>107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s="2" customFormat="1" ht="15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</row>
    <row r="80" spans="1:10" s="2" customFormat="1" ht="12.75" customHeight="1">
      <c r="A80" s="162"/>
      <c r="B80" s="162"/>
      <c r="C80" s="162"/>
      <c r="D80" s="162"/>
      <c r="E80" s="162"/>
      <c r="F80" s="162"/>
      <c r="G80" s="162"/>
      <c r="H80" s="162"/>
      <c r="I80" s="162"/>
      <c r="J80" s="162"/>
    </row>
    <row r="81" spans="1:10" s="2" customFormat="1" ht="13.5">
      <c r="A81" s="162"/>
      <c r="B81" s="162"/>
      <c r="C81" s="162"/>
      <c r="D81" s="162"/>
      <c r="E81" s="162"/>
      <c r="F81" s="162"/>
      <c r="G81" s="162"/>
      <c r="H81" s="162"/>
      <c r="I81" s="162"/>
      <c r="J81" s="162"/>
    </row>
    <row r="82" spans="1:10" s="2" customFormat="1" ht="13.5">
      <c r="A82" s="10"/>
      <c r="B82" s="10"/>
      <c r="C82" s="10"/>
      <c r="D82" s="88"/>
      <c r="E82" s="88"/>
      <c r="F82" s="10"/>
      <c r="G82" s="88"/>
      <c r="H82" s="88"/>
      <c r="I82" s="123"/>
      <c r="J82" s="10"/>
    </row>
    <row r="83" spans="1:10" s="2" customFormat="1" ht="13.5">
      <c r="A83" s="163"/>
      <c r="B83" s="163"/>
      <c r="C83" s="163"/>
      <c r="D83" s="163"/>
      <c r="E83" s="163"/>
      <c r="F83" s="163"/>
      <c r="G83" s="163"/>
      <c r="H83" s="163"/>
      <c r="I83" s="163"/>
      <c r="J83" s="163"/>
    </row>
    <row r="84" spans="1:10" s="2" customFormat="1" ht="13.5">
      <c r="A84" s="7"/>
      <c r="B84" s="7"/>
      <c r="C84" s="7"/>
      <c r="D84" s="88"/>
      <c r="E84" s="88"/>
      <c r="F84" s="7"/>
      <c r="G84" s="88"/>
      <c r="H84" s="88"/>
      <c r="I84" s="123"/>
      <c r="J84" s="7"/>
    </row>
    <row r="85" spans="1:10" ht="12.75">
      <c r="A85" s="4"/>
      <c r="B85" s="4"/>
      <c r="C85" s="4"/>
      <c r="D85" s="89"/>
      <c r="E85" s="90"/>
      <c r="F85" s="4"/>
      <c r="G85" s="90"/>
      <c r="H85" s="90"/>
      <c r="I85" s="124"/>
      <c r="J85" s="4"/>
    </row>
    <row r="86" spans="1:10" ht="12.75">
      <c r="A86" s="4"/>
      <c r="B86" s="4"/>
      <c r="C86" s="4"/>
      <c r="D86" s="90"/>
      <c r="E86" s="90"/>
      <c r="F86" s="4"/>
      <c r="G86" s="90"/>
      <c r="H86" s="90"/>
      <c r="I86" s="124"/>
      <c r="J86" s="4"/>
    </row>
    <row r="87" spans="1:10" ht="12.75">
      <c r="A87" s="4"/>
      <c r="B87" s="4"/>
      <c r="C87" s="4"/>
      <c r="D87" s="90"/>
      <c r="E87" s="90"/>
      <c r="F87" s="4"/>
      <c r="G87" s="90"/>
      <c r="H87" s="90"/>
      <c r="I87" s="124"/>
      <c r="J87" s="4"/>
    </row>
    <row r="88" spans="1:10" ht="12.75">
      <c r="A88" s="4"/>
      <c r="B88" s="4"/>
      <c r="C88" s="4"/>
      <c r="D88" s="90"/>
      <c r="E88" s="90"/>
      <c r="F88" s="4"/>
      <c r="G88" s="90"/>
      <c r="H88" s="90"/>
      <c r="I88" s="124"/>
      <c r="J88" s="4"/>
    </row>
    <row r="89" spans="1:10" ht="12.75">
      <c r="A89" s="4"/>
      <c r="B89" s="4"/>
      <c r="C89" s="4"/>
      <c r="D89" s="90"/>
      <c r="E89" s="90"/>
      <c r="F89" s="4"/>
      <c r="G89" s="90"/>
      <c r="H89" s="90"/>
      <c r="I89" s="124"/>
      <c r="J89" s="4"/>
    </row>
    <row r="90" spans="1:10" ht="12.75">
      <c r="A90" s="4"/>
      <c r="B90" s="4"/>
      <c r="C90" s="4"/>
      <c r="D90" s="90"/>
      <c r="E90" s="90"/>
      <c r="F90" s="4"/>
      <c r="G90" s="90"/>
      <c r="H90" s="90"/>
      <c r="I90" s="124"/>
      <c r="J90" s="4"/>
    </row>
    <row r="91" spans="1:10" ht="12.75">
      <c r="A91" s="4"/>
      <c r="B91" s="4"/>
      <c r="C91" s="4"/>
      <c r="D91" s="90"/>
      <c r="E91" s="90"/>
      <c r="F91" s="4"/>
      <c r="G91" s="90"/>
      <c r="H91" s="90"/>
      <c r="I91" s="124"/>
      <c r="J91" s="4"/>
    </row>
    <row r="92" spans="1:10" ht="12.75">
      <c r="A92" s="4"/>
      <c r="B92" s="4"/>
      <c r="C92" s="4"/>
      <c r="D92" s="90"/>
      <c r="E92" s="90"/>
      <c r="F92" s="4"/>
      <c r="G92" s="90"/>
      <c r="H92" s="90"/>
      <c r="I92" s="124"/>
      <c r="J92" s="4"/>
    </row>
    <row r="93" spans="1:10" ht="12.75">
      <c r="A93" s="4"/>
      <c r="B93" s="4"/>
      <c r="C93" s="4"/>
      <c r="D93" s="90"/>
      <c r="E93" s="90"/>
      <c r="F93" s="4"/>
      <c r="G93" s="90"/>
      <c r="H93" s="90"/>
      <c r="I93" s="124"/>
      <c r="J93" s="4"/>
    </row>
    <row r="94" spans="1:10" ht="12.75">
      <c r="A94" s="4"/>
      <c r="B94" s="4"/>
      <c r="C94" s="4"/>
      <c r="D94" s="90"/>
      <c r="E94" s="90"/>
      <c r="F94" s="4"/>
      <c r="G94" s="90"/>
      <c r="H94" s="90"/>
      <c r="I94" s="124"/>
      <c r="J94" s="4"/>
    </row>
    <row r="95" spans="1:10" ht="12.75">
      <c r="A95" s="4"/>
      <c r="B95" s="4"/>
      <c r="C95" s="4"/>
      <c r="D95" s="90"/>
      <c r="E95" s="90"/>
      <c r="F95" s="4"/>
      <c r="G95" s="90"/>
      <c r="H95" s="90"/>
      <c r="I95" s="124"/>
      <c r="J95" s="4"/>
    </row>
    <row r="96" spans="1:10" ht="12.75">
      <c r="A96" s="4"/>
      <c r="B96" s="4"/>
      <c r="C96" s="4"/>
      <c r="D96" s="90"/>
      <c r="E96" s="90"/>
      <c r="F96" s="4"/>
      <c r="G96" s="90"/>
      <c r="H96" s="90"/>
      <c r="I96" s="124"/>
      <c r="J96" s="4"/>
    </row>
    <row r="97" spans="1:10" ht="12.75">
      <c r="A97" s="4"/>
      <c r="B97" s="4"/>
      <c r="C97" s="4"/>
      <c r="D97" s="90"/>
      <c r="E97" s="90"/>
      <c r="F97" s="4"/>
      <c r="G97" s="90"/>
      <c r="H97" s="90"/>
      <c r="I97" s="124"/>
      <c r="J97" s="4"/>
    </row>
    <row r="98" spans="1:10" ht="12.75">
      <c r="A98" s="4"/>
      <c r="B98" s="4"/>
      <c r="C98" s="4"/>
      <c r="D98" s="90"/>
      <c r="E98" s="90"/>
      <c r="F98" s="4"/>
      <c r="G98" s="90"/>
      <c r="H98" s="90"/>
      <c r="I98" s="124"/>
      <c r="J98" s="4"/>
    </row>
    <row r="99" spans="1:10" ht="12.75">
      <c r="A99" s="4"/>
      <c r="B99" s="4"/>
      <c r="C99" s="4"/>
      <c r="D99" s="90"/>
      <c r="E99" s="90"/>
      <c r="F99" s="4"/>
      <c r="G99" s="90"/>
      <c r="H99" s="90"/>
      <c r="I99" s="124"/>
      <c r="J99" s="4"/>
    </row>
    <row r="100" spans="1:10" ht="12.75">
      <c r="A100" s="4"/>
      <c r="B100" s="4"/>
      <c r="C100" s="4"/>
      <c r="D100" s="90"/>
      <c r="E100" s="90"/>
      <c r="F100" s="4"/>
      <c r="G100" s="90"/>
      <c r="H100" s="90"/>
      <c r="I100" s="124"/>
      <c r="J100" s="4"/>
    </row>
    <row r="101" spans="1:10" ht="12.75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</row>
    <row r="102" spans="1:10" ht="12.75">
      <c r="A102" s="5"/>
      <c r="B102" s="5"/>
      <c r="C102" s="5"/>
      <c r="D102" s="76"/>
      <c r="E102" s="76"/>
      <c r="F102" s="5"/>
      <c r="G102" s="76"/>
      <c r="H102" s="76"/>
      <c r="I102" s="125"/>
      <c r="J102" s="5"/>
    </row>
  </sheetData>
  <sheetProtection/>
  <mergeCells count="26">
    <mergeCell ref="A55:C55"/>
    <mergeCell ref="A58:C58"/>
    <mergeCell ref="A59:C59"/>
    <mergeCell ref="A62:C62"/>
    <mergeCell ref="A101:J101"/>
    <mergeCell ref="A80:J80"/>
    <mergeCell ref="A81:J81"/>
    <mergeCell ref="A83:J83"/>
    <mergeCell ref="E73:F73"/>
    <mergeCell ref="E74:F74"/>
    <mergeCell ref="I17:I21"/>
    <mergeCell ref="J17:J21"/>
    <mergeCell ref="A49:C49"/>
    <mergeCell ref="A51:C51"/>
    <mergeCell ref="A50:C50"/>
    <mergeCell ref="A5:J5"/>
    <mergeCell ref="A1:I1"/>
    <mergeCell ref="A78:J78"/>
    <mergeCell ref="A79:J79"/>
    <mergeCell ref="A77:J77"/>
    <mergeCell ref="A75:J75"/>
    <mergeCell ref="A52:J52"/>
    <mergeCell ref="A72:J72"/>
    <mergeCell ref="A44:C44"/>
    <mergeCell ref="A2:J2"/>
    <mergeCell ref="A3:J3"/>
  </mergeCells>
  <printOptions/>
  <pageMargins left="0.7874015748031497" right="0.2755905511811024" top="0.6692913385826772" bottom="1.15" header="0" footer="1.102362204724409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37" activeCellId="1" sqref="A1 C3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1:I30"/>
  <sheetViews>
    <sheetView zoomScalePageLayoutView="0" workbookViewId="0" topLeftCell="A1">
      <selection activeCell="C37" activeCellId="1" sqref="A1 C37"/>
    </sheetView>
  </sheetViews>
  <sheetFormatPr defaultColWidth="11.421875" defaultRowHeight="12.75"/>
  <sheetData>
    <row r="11" ht="12.75">
      <c r="F11" s="8">
        <v>4000</v>
      </c>
    </row>
    <row r="12" ht="12.75">
      <c r="F12" s="8">
        <v>6000</v>
      </c>
    </row>
    <row r="13" ht="12.75">
      <c r="F13" s="8">
        <v>2500</v>
      </c>
    </row>
    <row r="14" ht="12.75">
      <c r="F14" s="8">
        <v>800</v>
      </c>
    </row>
    <row r="15" ht="12.75">
      <c r="F15" s="8">
        <v>5000</v>
      </c>
    </row>
    <row r="16" spans="6:9" ht="12.75">
      <c r="F16" s="8">
        <v>1000</v>
      </c>
      <c r="I16" s="8"/>
    </row>
    <row r="17" ht="12.75">
      <c r="F17" s="8">
        <v>1900</v>
      </c>
    </row>
    <row r="18" ht="12.75">
      <c r="F18" s="8">
        <v>13000</v>
      </c>
    </row>
    <row r="19" spans="6:9" ht="12.75">
      <c r="F19" s="8">
        <v>500</v>
      </c>
      <c r="I19" s="8"/>
    </row>
    <row r="20" spans="6:9" ht="12.75">
      <c r="F20" s="8">
        <v>1000</v>
      </c>
      <c r="I20" s="8"/>
    </row>
    <row r="21" ht="12.75">
      <c r="F21" s="8">
        <f>SUM(F11:F20)</f>
        <v>35700</v>
      </c>
    </row>
    <row r="24" ht="12.75">
      <c r="F24" s="8">
        <f>+F21-37000</f>
        <v>-1300</v>
      </c>
    </row>
    <row r="26" ht="12.75">
      <c r="I26" s="9"/>
    </row>
    <row r="30" ht="12.75">
      <c r="H30">
        <f>15000/45.97</f>
        <v>326.2997607135088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2023-07-12T16:49:24Z</cp:lastPrinted>
  <dcterms:created xsi:type="dcterms:W3CDTF">1999-01-20T19:29:31Z</dcterms:created>
  <dcterms:modified xsi:type="dcterms:W3CDTF">2024-05-17T14:59:21Z</dcterms:modified>
  <cp:category/>
  <cp:version/>
  <cp:contentType/>
  <cp:contentStatus/>
</cp:coreProperties>
</file>