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errera.AGRICULTURA\Desktop\"/>
    </mc:Choice>
  </mc:AlternateContent>
  <xr:revisionPtr revIDLastSave="0" documentId="13_ncr:1_{7835FDDE-384E-4D9A-A087-4B1EDEAEC3FF}" xr6:coauthVersionLast="47" xr6:coauthVersionMax="47" xr10:uidLastSave="{00000000-0000-0000-0000-000000000000}"/>
  <bookViews>
    <workbookView xWindow="-120" yWindow="-120" windowWidth="20730" windowHeight="11160" xr2:uid="{EC441D91-01D6-4C4A-9827-E96B74A7CF59}"/>
  </bookViews>
  <sheets>
    <sheet name="Produccion bajo amb. proteg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5" i="1" l="1"/>
  <c r="U18" i="1"/>
  <c r="U13" i="1"/>
  <c r="T25" i="1" l="1"/>
  <c r="T18" i="1"/>
  <c r="T13" i="1" l="1"/>
  <c r="R13" i="1"/>
  <c r="S25" i="1"/>
  <c r="I23" i="1"/>
  <c r="H23" i="1"/>
  <c r="G23" i="1"/>
  <c r="F23" i="1"/>
  <c r="E23" i="1"/>
  <c r="D23" i="1"/>
  <c r="C23" i="1"/>
  <c r="I24" i="1" l="1"/>
  <c r="H24" i="1"/>
  <c r="G24" i="1"/>
  <c r="F24" i="1"/>
  <c r="E24" i="1"/>
  <c r="D24" i="1"/>
  <c r="I22" i="1"/>
  <c r="H22" i="1"/>
  <c r="G22" i="1"/>
  <c r="F22" i="1"/>
  <c r="E22" i="1"/>
  <c r="D22" i="1"/>
  <c r="C22" i="1"/>
  <c r="B22" i="1"/>
  <c r="I21" i="1"/>
  <c r="H21" i="1"/>
  <c r="I20" i="1"/>
  <c r="H20" i="1"/>
  <c r="G20" i="1"/>
  <c r="F20" i="1"/>
  <c r="E20" i="1"/>
  <c r="D20" i="1"/>
  <c r="C20" i="1"/>
  <c r="B20" i="1"/>
  <c r="I19" i="1"/>
  <c r="H19" i="1"/>
  <c r="G19" i="1"/>
  <c r="G18" i="1" s="1"/>
  <c r="F19" i="1"/>
  <c r="F18" i="1" s="1"/>
  <c r="E19" i="1"/>
  <c r="E18" i="1" s="1"/>
  <c r="D19" i="1"/>
  <c r="D18" i="1" s="1"/>
  <c r="C19" i="1"/>
  <c r="B19" i="1"/>
  <c r="B18" i="1" s="1"/>
  <c r="R18" i="1"/>
  <c r="Q18" i="1"/>
  <c r="P18" i="1"/>
  <c r="O18" i="1"/>
  <c r="N18" i="1"/>
  <c r="M18" i="1"/>
  <c r="L18" i="1"/>
  <c r="K18" i="1"/>
  <c r="J18" i="1"/>
  <c r="I16" i="1"/>
  <c r="H16" i="1"/>
  <c r="G16" i="1"/>
  <c r="F16" i="1"/>
  <c r="E16" i="1"/>
  <c r="D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B14" i="1"/>
  <c r="B13" i="1" s="1"/>
  <c r="B25" i="1" s="1"/>
  <c r="R25" i="1"/>
  <c r="Q13" i="1"/>
  <c r="Q25" i="1" s="1"/>
  <c r="P13" i="1"/>
  <c r="O13" i="1"/>
  <c r="O25" i="1" s="1"/>
  <c r="N13" i="1"/>
  <c r="N25" i="1" s="1"/>
  <c r="M13" i="1"/>
  <c r="M25" i="1" s="1"/>
  <c r="L13" i="1"/>
  <c r="K13" i="1"/>
  <c r="K25" i="1" s="1"/>
  <c r="J13" i="1"/>
  <c r="J25" i="1" s="1"/>
  <c r="C18" i="1" l="1"/>
  <c r="P25" i="1"/>
  <c r="L25" i="1"/>
  <c r="H18" i="1"/>
  <c r="E13" i="1"/>
  <c r="E25" i="1" s="1"/>
  <c r="I13" i="1"/>
  <c r="D13" i="1"/>
  <c r="D25" i="1" s="1"/>
  <c r="F13" i="1"/>
  <c r="F25" i="1" s="1"/>
  <c r="H13" i="1"/>
  <c r="H25" i="1" s="1"/>
  <c r="C13" i="1"/>
  <c r="C25" i="1" s="1"/>
  <c r="G13" i="1"/>
  <c r="G25" i="1" s="1"/>
  <c r="I18" i="1"/>
  <c r="I25" i="1" l="1"/>
</calcChain>
</file>

<file path=xl/sharedStrings.xml><?xml version="1.0" encoding="utf-8"?>
<sst xmlns="http://schemas.openxmlformats.org/spreadsheetml/2006/main" count="22" uniqueCount="22">
  <si>
    <t>Viceministerio de Planificación Sectorial Agropecuaria</t>
  </si>
  <si>
    <t>Departamento de Economía Agropecuaria y Estadísticas</t>
  </si>
  <si>
    <t xml:space="preserve">  Producción Bajo Ambiente Protegido,</t>
  </si>
  <si>
    <t>Productos</t>
  </si>
  <si>
    <t>Ajíes</t>
  </si>
  <si>
    <t xml:space="preserve">  Ají (pimiento) morrón</t>
  </si>
  <si>
    <t xml:space="preserve">  Ají cubanela</t>
  </si>
  <si>
    <t xml:space="preserve">  Ají picante (hot pepper)</t>
  </si>
  <si>
    <t xml:space="preserve">  Ají Cachucha (Gustoso)</t>
  </si>
  <si>
    <t>Tomates</t>
  </si>
  <si>
    <t xml:space="preserve">  Tomate Cherry</t>
  </si>
  <si>
    <t xml:space="preserve">  Tomate cluster (ensalada)</t>
  </si>
  <si>
    <t xml:space="preserve">  Tomate bugalú</t>
  </si>
  <si>
    <t>Pepino</t>
  </si>
  <si>
    <t>Hierbas aromáticas</t>
  </si>
  <si>
    <t>Otros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</si>
  <si>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</si>
  <si>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Ministerio de Agricultura de República Dominicana. Departamento de Producción Bajo Ambiente Protegido, (DEPROBAP).</t>
    </r>
  </si>
  <si>
    <t xml:space="preserve">              Elaborado:  Ministerio de Agricultura de República Dominicana. Departamento de Economía Agropecuaria y Estadísticas.</t>
  </si>
  <si>
    <t>* Datos Preliminares.</t>
  </si>
  <si>
    <t>2004 - 2023 (En quintales)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</si>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</sst>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Calibri Light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Calibri"/>
      <family val="2"/>
      <scheme val="minor"/>
    </font>
    <font>
      <b/>
      <sz val="9"/>
      <color theme="0"/>
      <name val="Calibri Light"/>
      <family val="1"/>
      <scheme val="major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9"/>
      <color theme="0"/>
      <name val="Arial Narrow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5" fillId="2" borderId="0" xfId="0" applyFont="1" applyFill="1"/>
    <xf numFmtId="0" fontId="5" fillId="0" borderId="0" xfId="0" applyFont="1"/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8" fillId="2" borderId="0" xfId="0" applyFont="1" applyFill="1"/>
    <xf numFmtId="0" fontId="8" fillId="0" borderId="0" xfId="0" applyFont="1"/>
    <xf numFmtId="164" fontId="0" fillId="2" borderId="0" xfId="1" applyNumberFormat="1" applyFont="1" applyFill="1"/>
    <xf numFmtId="164" fontId="0" fillId="0" borderId="0" xfId="0" applyNumberFormat="1"/>
    <xf numFmtId="3" fontId="16" fillId="2" borderId="0" xfId="1" applyNumberFormat="1" applyFont="1" applyFill="1" applyAlignment="1">
      <alignment horizontal="right"/>
    </xf>
    <xf numFmtId="3" fontId="0" fillId="2" borderId="0" xfId="0" applyNumberFormat="1" applyFill="1"/>
    <xf numFmtId="3" fontId="17" fillId="2" borderId="0" xfId="1" applyNumberFormat="1" applyFont="1" applyFill="1" applyAlignment="1">
      <alignment horizontal="right"/>
    </xf>
    <xf numFmtId="0" fontId="12" fillId="2" borderId="0" xfId="0" applyFont="1" applyFill="1"/>
    <xf numFmtId="0" fontId="12" fillId="0" borderId="0" xfId="0" applyFont="1"/>
    <xf numFmtId="43" fontId="12" fillId="2" borderId="0" xfId="1" applyFont="1" applyFill="1"/>
    <xf numFmtId="164" fontId="2" fillId="2" borderId="0" xfId="0" applyNumberFormat="1" applyFont="1" applyFill="1"/>
    <xf numFmtId="0" fontId="2" fillId="0" borderId="0" xfId="0" applyFont="1"/>
    <xf numFmtId="3" fontId="19" fillId="2" borderId="0" xfId="1" applyNumberFormat="1" applyFont="1" applyFill="1" applyAlignment="1">
      <alignment horizontal="right"/>
    </xf>
    <xf numFmtId="0" fontId="21" fillId="2" borderId="0" xfId="0" applyFont="1" applyFill="1"/>
    <xf numFmtId="0" fontId="18" fillId="2" borderId="0" xfId="0" applyFont="1" applyFill="1" applyAlignment="1">
      <alignment horizontal="left" wrapText="1"/>
    </xf>
    <xf numFmtId="0" fontId="18" fillId="2" borderId="0" xfId="0" applyFont="1" applyFill="1"/>
    <xf numFmtId="0" fontId="11" fillId="2" borderId="1" xfId="0" applyFont="1" applyFill="1" applyBorder="1" applyAlignment="1">
      <alignment horizontal="left" vertical="center"/>
    </xf>
    <xf numFmtId="3" fontId="11" fillId="2" borderId="0" xfId="1" applyNumberFormat="1" applyFont="1" applyFill="1" applyBorder="1" applyAlignment="1">
      <alignment horizontal="right"/>
    </xf>
    <xf numFmtId="164" fontId="11" fillId="2" borderId="0" xfId="1" applyNumberFormat="1" applyFont="1" applyFill="1" applyBorder="1" applyAlignment="1">
      <alignment horizontal="right"/>
    </xf>
    <xf numFmtId="164" fontId="11" fillId="2" borderId="2" xfId="1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 vertical="center"/>
    </xf>
    <xf numFmtId="3" fontId="10" fillId="2" borderId="0" xfId="1" applyNumberFormat="1" applyFont="1" applyFill="1" applyBorder="1" applyAlignment="1">
      <alignment horizontal="right"/>
    </xf>
    <xf numFmtId="3" fontId="10" fillId="2" borderId="2" xfId="1" applyNumberFormat="1" applyFont="1" applyFill="1" applyBorder="1" applyAlignment="1">
      <alignment horizontal="right"/>
    </xf>
    <xf numFmtId="164" fontId="10" fillId="2" borderId="0" xfId="1" applyNumberFormat="1" applyFont="1" applyFill="1" applyBorder="1" applyAlignment="1">
      <alignment horizontal="right"/>
    </xf>
    <xf numFmtId="164" fontId="15" fillId="2" borderId="0" xfId="1" applyNumberFormat="1" applyFont="1" applyFill="1"/>
    <xf numFmtId="164" fontId="0" fillId="2" borderId="0" xfId="0" applyNumberFormat="1" applyFill="1"/>
    <xf numFmtId="164" fontId="10" fillId="2" borderId="2" xfId="0" applyNumberFormat="1" applyFont="1" applyFill="1" applyBorder="1" applyAlignment="1">
      <alignment horizontal="right" vertical="center"/>
    </xf>
    <xf numFmtId="3" fontId="14" fillId="4" borderId="3" xfId="1" applyNumberFormat="1" applyFont="1" applyFill="1" applyBorder="1" applyAlignment="1"/>
    <xf numFmtId="0" fontId="13" fillId="4" borderId="4" xfId="0" applyFont="1" applyFill="1" applyBorder="1" applyAlignment="1">
      <alignment horizontal="left" vertical="center"/>
    </xf>
    <xf numFmtId="3" fontId="14" fillId="4" borderId="5" xfId="1" applyNumberFormat="1" applyFont="1" applyFill="1" applyBorder="1" applyAlignment="1"/>
    <xf numFmtId="0" fontId="10" fillId="2" borderId="4" xfId="0" applyFont="1" applyFill="1" applyBorder="1" applyAlignment="1">
      <alignment horizontal="left" vertical="center"/>
    </xf>
    <xf numFmtId="164" fontId="10" fillId="2" borderId="6" xfId="1" applyNumberFormat="1" applyFont="1" applyFill="1" applyBorder="1" applyAlignment="1">
      <alignment horizontal="right"/>
    </xf>
    <xf numFmtId="3" fontId="10" fillId="2" borderId="6" xfId="1" applyNumberFormat="1" applyFont="1" applyFill="1" applyBorder="1" applyAlignment="1">
      <alignment horizontal="right"/>
    </xf>
    <xf numFmtId="164" fontId="12" fillId="2" borderId="0" xfId="1" applyNumberFormat="1" applyFont="1" applyFill="1"/>
    <xf numFmtId="0" fontId="18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8" fillId="2" borderId="2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Border="1"/>
    <xf numFmtId="0" fontId="8" fillId="2" borderId="0" xfId="0" applyFont="1" applyFill="1" applyBorder="1"/>
    <xf numFmtId="164" fontId="10" fillId="2" borderId="0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3" fontId="14" fillId="4" borderId="7" xfId="1" applyNumberFormat="1" applyFont="1" applyFill="1" applyBorder="1" applyAlignment="1"/>
  </cellXfs>
  <cellStyles count="3">
    <cellStyle name="Millares" xfId="1" builtinId="3"/>
    <cellStyle name="Normal" xfId="0" builtinId="0"/>
    <cellStyle name="Normal 3" xfId="2" xr:uid="{F60209C4-F435-498D-893B-8D2A90CD9D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140678</xdr:colOff>
      <xdr:row>0</xdr:row>
      <xdr:rowOff>41763</xdr:rowOff>
    </xdr:from>
    <xdr:to>
      <xdr:col>9</xdr:col>
      <xdr:colOff>271097</xdr:colOff>
      <xdr:row>3</xdr:row>
      <xdr:rowOff>139211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8BE853-D081-4699-A033-09D7E82D94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2203" y="41763"/>
          <a:ext cx="1197219" cy="58322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40DD3-5B9B-484E-80E0-8C4EB0E28D14}">
  <dimension ref="A1:Y52"/>
  <sheetViews>
    <sheetView tabSelected="1" zoomScale="120" zoomScaleNormal="120" workbookViewId="0">
      <pane xSplit="1" topLeftCell="B1" activePane="topRight" state="frozen"/>
      <selection activeCell="A6" sqref="A6"/>
      <selection pane="topRight" activeCell="W22" sqref="W22"/>
    </sheetView>
  </sheetViews>
  <sheetFormatPr baseColWidth="10" defaultRowHeight="12.75" x14ac:dyDescent="0.2"/>
  <cols>
    <col min="1" max="1" width="19.85546875" style="20" customWidth="1"/>
    <col min="2" max="2" width="8" style="20" customWidth="1"/>
    <col min="3" max="3" width="7.5703125" style="20" customWidth="1"/>
    <col min="4" max="9" width="8" style="20" customWidth="1"/>
    <col min="10" max="12" width="8" customWidth="1"/>
    <col min="13" max="15" width="8" style="2" customWidth="1"/>
    <col min="16" max="16" width="8.42578125" customWidth="1"/>
    <col min="17" max="17" width="9.140625" style="2" customWidth="1"/>
    <col min="18" max="18" width="9.28515625" style="2" customWidth="1"/>
    <col min="19" max="19" width="9.140625" style="2" customWidth="1"/>
    <col min="20" max="20" width="9.5703125" style="2" customWidth="1"/>
    <col min="21" max="21" width="10.28515625" style="2" customWidth="1"/>
    <col min="22" max="22" width="11.42578125" style="2"/>
    <col min="23" max="23" width="13.85546875" style="2" bestFit="1" customWidth="1"/>
    <col min="24" max="25" width="11.42578125" style="2"/>
  </cols>
  <sheetData>
    <row r="1" spans="1:25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P1" s="2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P2" s="2"/>
    </row>
    <row r="3" spans="1:25" x14ac:dyDescent="0.2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P3" s="2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P4" s="2"/>
    </row>
    <row r="5" spans="1:25" s="2" customFormat="1" ht="15" x14ac:dyDescent="0.2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3"/>
    </row>
    <row r="6" spans="1:25" s="2" customFormat="1" ht="15" x14ac:dyDescent="0.2">
      <c r="A6" s="44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3"/>
    </row>
    <row r="7" spans="1:25" s="5" customFormat="1" ht="3.7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"/>
      <c r="R7" s="4"/>
      <c r="S7" s="4"/>
      <c r="T7" s="4"/>
      <c r="U7" s="4"/>
      <c r="V7" s="4"/>
      <c r="W7" s="4"/>
      <c r="X7" s="4"/>
      <c r="Y7" s="4"/>
    </row>
    <row r="8" spans="1:25" s="5" customFormat="1" ht="14.25" customHeight="1" x14ac:dyDescent="0.25">
      <c r="A8" s="46" t="s">
        <v>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6"/>
      <c r="T8" s="4"/>
      <c r="U8" s="4"/>
      <c r="V8" s="4"/>
      <c r="W8" s="4"/>
      <c r="X8" s="4"/>
      <c r="Y8" s="4"/>
    </row>
    <row r="9" spans="1:25" s="5" customFormat="1" ht="13.5" customHeight="1" x14ac:dyDescent="0.25">
      <c r="A9" s="46" t="s">
        <v>20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6"/>
      <c r="T9" s="4"/>
      <c r="U9" s="4"/>
      <c r="V9" s="4"/>
      <c r="W9" s="4"/>
      <c r="X9" s="4"/>
      <c r="Y9" s="4"/>
    </row>
    <row r="10" spans="1:25" s="4" customFormat="1" ht="3.75" customHeight="1" thickBo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25" s="10" customFormat="1" ht="22.5" customHeight="1" thickBot="1" x14ac:dyDescent="0.3">
      <c r="A11" s="54" t="s">
        <v>3</v>
      </c>
      <c r="B11" s="55">
        <v>2004</v>
      </c>
      <c r="C11" s="55">
        <v>2005</v>
      </c>
      <c r="D11" s="55">
        <v>2006</v>
      </c>
      <c r="E11" s="55">
        <v>2007</v>
      </c>
      <c r="F11" s="55">
        <v>2008</v>
      </c>
      <c r="G11" s="55">
        <v>2009</v>
      </c>
      <c r="H11" s="55">
        <v>2010</v>
      </c>
      <c r="I11" s="55">
        <v>2011</v>
      </c>
      <c r="J11" s="55">
        <v>2012</v>
      </c>
      <c r="K11" s="55">
        <v>2013</v>
      </c>
      <c r="L11" s="55">
        <v>2014</v>
      </c>
      <c r="M11" s="55">
        <v>2015</v>
      </c>
      <c r="N11" s="55">
        <v>2016</v>
      </c>
      <c r="O11" s="55">
        <v>2017</v>
      </c>
      <c r="P11" s="55">
        <v>2018</v>
      </c>
      <c r="Q11" s="55">
        <v>2019</v>
      </c>
      <c r="R11" s="55">
        <v>2020</v>
      </c>
      <c r="S11" s="56">
        <v>2021</v>
      </c>
      <c r="T11" s="56">
        <v>2022</v>
      </c>
      <c r="U11" s="57" t="s">
        <v>21</v>
      </c>
      <c r="V11" s="9"/>
      <c r="W11" s="9"/>
      <c r="X11" s="9"/>
      <c r="Y11" s="9"/>
    </row>
    <row r="12" spans="1:25" s="10" customFormat="1" ht="12.75" customHeight="1" x14ac:dyDescent="0.25">
      <c r="A12" s="53"/>
      <c r="B12" s="48"/>
      <c r="C12" s="48"/>
      <c r="D12" s="48"/>
      <c r="E12" s="48"/>
      <c r="F12" s="48"/>
      <c r="G12" s="48"/>
      <c r="H12" s="49"/>
      <c r="I12" s="49"/>
      <c r="J12" s="49"/>
      <c r="K12" s="50"/>
      <c r="L12" s="50"/>
      <c r="M12" s="50"/>
      <c r="N12" s="51"/>
      <c r="O12" s="51"/>
      <c r="P12" s="51"/>
      <c r="Q12" s="51"/>
      <c r="R12" s="51"/>
      <c r="S12" s="51"/>
      <c r="T12" s="51"/>
      <c r="U12" s="47"/>
      <c r="V12" s="9"/>
      <c r="W12" s="9"/>
      <c r="X12" s="9"/>
      <c r="Y12" s="9"/>
    </row>
    <row r="13" spans="1:25" s="10" customFormat="1" ht="15.75" customHeight="1" x14ac:dyDescent="0.25">
      <c r="A13" s="29" t="s">
        <v>4</v>
      </c>
      <c r="B13" s="52">
        <f t="shared" ref="B13:M13" si="0">+B14+B15+B16</f>
        <v>20064</v>
      </c>
      <c r="C13" s="52">
        <f t="shared" si="0"/>
        <v>36626.959999999999</v>
      </c>
      <c r="D13" s="52">
        <f t="shared" si="0"/>
        <v>110798.87000000001</v>
      </c>
      <c r="E13" s="52">
        <f t="shared" si="0"/>
        <v>147694.44</v>
      </c>
      <c r="F13" s="52">
        <f t="shared" si="0"/>
        <v>212704.12</v>
      </c>
      <c r="G13" s="52">
        <f t="shared" si="0"/>
        <v>246585.43</v>
      </c>
      <c r="H13" s="52">
        <f t="shared" si="0"/>
        <v>417290.38</v>
      </c>
      <c r="I13" s="52">
        <f t="shared" si="0"/>
        <v>570302.65</v>
      </c>
      <c r="J13" s="52">
        <f t="shared" si="0"/>
        <v>645157.42999999993</v>
      </c>
      <c r="K13" s="52">
        <f t="shared" si="0"/>
        <v>755335</v>
      </c>
      <c r="L13" s="52">
        <f t="shared" si="0"/>
        <v>772233.66</v>
      </c>
      <c r="M13" s="52">
        <f t="shared" si="0"/>
        <v>511200</v>
      </c>
      <c r="N13" s="52">
        <f>+N14+N15+N16</f>
        <v>585379.84000000008</v>
      </c>
      <c r="O13" s="52">
        <f>+O14+O15+O16</f>
        <v>530027.69000000006</v>
      </c>
      <c r="P13" s="52">
        <f>+P14+P15+P16</f>
        <v>414989.19</v>
      </c>
      <c r="Q13" s="52">
        <f>+Q14+Q15+Q16+Q17</f>
        <v>524908.17000000004</v>
      </c>
      <c r="R13" s="52">
        <f>+R14+R15+R16+R17</f>
        <v>439095.1</v>
      </c>
      <c r="S13" s="52">
        <v>629983.03</v>
      </c>
      <c r="T13" s="52">
        <f>+T14+T15+T16+T17</f>
        <v>648308.41999999993</v>
      </c>
      <c r="U13" s="35">
        <f>+U14+U15+U16+U17</f>
        <v>851410.26</v>
      </c>
      <c r="V13" s="9"/>
      <c r="W13" s="9"/>
      <c r="X13" s="9"/>
      <c r="Y13" s="9"/>
    </row>
    <row r="14" spans="1:25" ht="15" customHeight="1" x14ac:dyDescent="0.2">
      <c r="A14" s="25" t="s">
        <v>5</v>
      </c>
      <c r="B14" s="26">
        <f>2006400/100</f>
        <v>20064</v>
      </c>
      <c r="C14" s="26">
        <f>3143402/100</f>
        <v>31434.02</v>
      </c>
      <c r="D14" s="26">
        <f>9332557/100</f>
        <v>93325.57</v>
      </c>
      <c r="E14" s="26">
        <f>12307724/100</f>
        <v>123077.24</v>
      </c>
      <c r="F14" s="26">
        <f>18458504/100</f>
        <v>184585.04</v>
      </c>
      <c r="G14" s="26">
        <f>20069047/100</f>
        <v>200690.47</v>
      </c>
      <c r="H14" s="26">
        <f>28640801/100</f>
        <v>286408.01</v>
      </c>
      <c r="I14" s="26">
        <f>41469300/100</f>
        <v>414693</v>
      </c>
      <c r="J14" s="26">
        <v>442498.62</v>
      </c>
      <c r="K14" s="26">
        <v>518175</v>
      </c>
      <c r="L14" s="26">
        <v>658241.28000000003</v>
      </c>
      <c r="M14" s="26">
        <v>393900</v>
      </c>
      <c r="N14" s="26">
        <v>431284.95</v>
      </c>
      <c r="O14" s="26">
        <v>421291.43</v>
      </c>
      <c r="P14" s="26">
        <v>342630.57</v>
      </c>
      <c r="Q14" s="27">
        <v>437797.21</v>
      </c>
      <c r="R14" s="27">
        <v>367605.91</v>
      </c>
      <c r="S14" s="27">
        <v>509915.12</v>
      </c>
      <c r="T14" s="27">
        <v>518561.52</v>
      </c>
      <c r="U14" s="28">
        <v>702359.42</v>
      </c>
    </row>
    <row r="15" spans="1:25" ht="15" customHeight="1" x14ac:dyDescent="0.2">
      <c r="A15" s="25" t="s">
        <v>6</v>
      </c>
      <c r="B15" s="27">
        <v>0</v>
      </c>
      <c r="C15" s="26">
        <f>519294/100</f>
        <v>5192.9399999999996</v>
      </c>
      <c r="D15" s="26">
        <f>1692330/100</f>
        <v>16923.3</v>
      </c>
      <c r="E15" s="26">
        <f>2232146/100</f>
        <v>22321.46</v>
      </c>
      <c r="F15" s="26">
        <f>1979958/100</f>
        <v>19799.580000000002</v>
      </c>
      <c r="G15" s="26">
        <f>3697916/100</f>
        <v>36979.160000000003</v>
      </c>
      <c r="H15" s="26">
        <f>9114911/100</f>
        <v>91149.11</v>
      </c>
      <c r="I15" s="26">
        <f>12854942/100</f>
        <v>128549.42</v>
      </c>
      <c r="J15" s="26">
        <v>157593.10999999999</v>
      </c>
      <c r="K15" s="26">
        <v>184485</v>
      </c>
      <c r="L15" s="26">
        <v>73880.37</v>
      </c>
      <c r="M15" s="26">
        <v>86900</v>
      </c>
      <c r="N15" s="26">
        <v>131150.14000000001</v>
      </c>
      <c r="O15" s="26">
        <v>58240.65</v>
      </c>
      <c r="P15" s="26">
        <v>48613.82</v>
      </c>
      <c r="Q15" s="27">
        <v>74148.75</v>
      </c>
      <c r="R15" s="27">
        <v>61101.46</v>
      </c>
      <c r="S15" s="27">
        <v>95258.73</v>
      </c>
      <c r="T15" s="27">
        <v>94109.36</v>
      </c>
      <c r="U15" s="28">
        <v>109919.83</v>
      </c>
    </row>
    <row r="16" spans="1:25" ht="15" customHeight="1" x14ac:dyDescent="0.2">
      <c r="A16" s="25" t="s">
        <v>7</v>
      </c>
      <c r="B16" s="27">
        <v>0</v>
      </c>
      <c r="C16" s="27">
        <v>0</v>
      </c>
      <c r="D16" s="26">
        <f>55000/100</f>
        <v>550</v>
      </c>
      <c r="E16" s="26">
        <f>229574/100</f>
        <v>2295.7399999999998</v>
      </c>
      <c r="F16" s="26">
        <f>831950/100</f>
        <v>8319.5</v>
      </c>
      <c r="G16" s="26">
        <f>891580/100</f>
        <v>8915.7999999999993</v>
      </c>
      <c r="H16" s="26">
        <f>3973326/100</f>
        <v>39733.26</v>
      </c>
      <c r="I16" s="26">
        <f>2706023/100</f>
        <v>27060.23</v>
      </c>
      <c r="J16" s="26">
        <v>45065.7</v>
      </c>
      <c r="K16" s="26">
        <v>52675</v>
      </c>
      <c r="L16" s="26">
        <v>40112.01</v>
      </c>
      <c r="M16" s="26">
        <v>30400</v>
      </c>
      <c r="N16" s="26">
        <v>22944.75</v>
      </c>
      <c r="O16" s="26">
        <v>50495.61</v>
      </c>
      <c r="P16" s="26">
        <v>23744.799999999999</v>
      </c>
      <c r="Q16" s="27">
        <v>12672.21</v>
      </c>
      <c r="R16" s="27">
        <v>10387.73</v>
      </c>
      <c r="S16" s="27">
        <v>8160.8</v>
      </c>
      <c r="T16" s="27">
        <v>9253.57</v>
      </c>
      <c r="U16" s="28">
        <v>7700.36</v>
      </c>
      <c r="W16" s="11"/>
    </row>
    <row r="17" spans="1:25" ht="15" customHeight="1" x14ac:dyDescent="0.2">
      <c r="A17" s="25" t="s">
        <v>8</v>
      </c>
      <c r="B17" s="27"/>
      <c r="C17" s="2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>
        <v>0</v>
      </c>
      <c r="Q17" s="27">
        <v>290</v>
      </c>
      <c r="R17" s="27"/>
      <c r="S17" s="27">
        <v>16648.38</v>
      </c>
      <c r="T17" s="27">
        <v>26383.97</v>
      </c>
      <c r="U17" s="28">
        <v>31430.65</v>
      </c>
      <c r="W17" s="11"/>
    </row>
    <row r="18" spans="1:25" ht="15.75" customHeight="1" x14ac:dyDescent="0.2">
      <c r="A18" s="29" t="s">
        <v>9</v>
      </c>
      <c r="B18" s="30">
        <f t="shared" ref="B18:U18" si="1">+B19+B20+B21</f>
        <v>8558</v>
      </c>
      <c r="C18" s="30">
        <f t="shared" si="1"/>
        <v>14670.92</v>
      </c>
      <c r="D18" s="30">
        <f t="shared" si="1"/>
        <v>41780.75</v>
      </c>
      <c r="E18" s="30">
        <f t="shared" si="1"/>
        <v>45376.959999999999</v>
      </c>
      <c r="F18" s="30">
        <f t="shared" si="1"/>
        <v>107027.35</v>
      </c>
      <c r="G18" s="30">
        <f t="shared" si="1"/>
        <v>131635.98000000001</v>
      </c>
      <c r="H18" s="30">
        <f t="shared" si="1"/>
        <v>221464.79</v>
      </c>
      <c r="I18" s="30">
        <f t="shared" si="1"/>
        <v>203834.32</v>
      </c>
      <c r="J18" s="30">
        <f t="shared" si="1"/>
        <v>192938.75999999998</v>
      </c>
      <c r="K18" s="30">
        <f t="shared" si="1"/>
        <v>225914.5</v>
      </c>
      <c r="L18" s="30">
        <f t="shared" si="1"/>
        <v>416182.38</v>
      </c>
      <c r="M18" s="30">
        <f t="shared" si="1"/>
        <v>362500</v>
      </c>
      <c r="N18" s="30">
        <f t="shared" si="1"/>
        <v>559853.88</v>
      </c>
      <c r="O18" s="30">
        <f t="shared" si="1"/>
        <v>671501.85</v>
      </c>
      <c r="P18" s="30">
        <f t="shared" si="1"/>
        <v>791474.16999999993</v>
      </c>
      <c r="Q18" s="30">
        <f t="shared" si="1"/>
        <v>664874.28</v>
      </c>
      <c r="R18" s="30">
        <f t="shared" si="1"/>
        <v>739770.55999999994</v>
      </c>
      <c r="S18" s="30">
        <v>802337.45</v>
      </c>
      <c r="T18" s="30">
        <f t="shared" si="1"/>
        <v>877620.80999999994</v>
      </c>
      <c r="U18" s="31">
        <f t="shared" si="1"/>
        <v>868532.93</v>
      </c>
      <c r="W18" s="11"/>
    </row>
    <row r="19" spans="1:25" ht="15" customHeight="1" x14ac:dyDescent="0.2">
      <c r="A19" s="25" t="s">
        <v>10</v>
      </c>
      <c r="B19" s="26">
        <f>693000/100</f>
        <v>6930</v>
      </c>
      <c r="C19" s="26">
        <f>884610/100</f>
        <v>8846.1</v>
      </c>
      <c r="D19" s="26">
        <f>729457/100</f>
        <v>7294.57</v>
      </c>
      <c r="E19" s="26">
        <f>947324/100</f>
        <v>9473.24</v>
      </c>
      <c r="F19" s="26">
        <f>2173775/100</f>
        <v>21737.75</v>
      </c>
      <c r="G19" s="26">
        <f>1208121/100</f>
        <v>12081.21</v>
      </c>
      <c r="H19" s="26">
        <f>6141760/100</f>
        <v>61417.599999999999</v>
      </c>
      <c r="I19" s="26">
        <f>2393910/100</f>
        <v>23939.1</v>
      </c>
      <c r="J19" s="26">
        <v>11050.8</v>
      </c>
      <c r="K19" s="26">
        <v>12985</v>
      </c>
      <c r="L19" s="26">
        <v>9765</v>
      </c>
      <c r="M19" s="26">
        <v>52900</v>
      </c>
      <c r="N19" s="26">
        <v>42260.91</v>
      </c>
      <c r="O19" s="26">
        <v>52431.92</v>
      </c>
      <c r="P19" s="26">
        <v>91740.72</v>
      </c>
      <c r="Q19" s="27">
        <v>134706.04999999999</v>
      </c>
      <c r="R19" s="27">
        <v>219550.67</v>
      </c>
      <c r="S19" s="27">
        <v>266527.77</v>
      </c>
      <c r="T19" s="27">
        <v>235386.93</v>
      </c>
      <c r="U19" s="28">
        <v>201843.91</v>
      </c>
    </row>
    <row r="20" spans="1:25" ht="15" customHeight="1" x14ac:dyDescent="0.2">
      <c r="A20" s="25" t="s">
        <v>11</v>
      </c>
      <c r="B20" s="26">
        <f>162800/100</f>
        <v>1628</v>
      </c>
      <c r="C20" s="26">
        <f>582482/100</f>
        <v>5824.82</v>
      </c>
      <c r="D20" s="26">
        <f>3448618/100</f>
        <v>34486.18</v>
      </c>
      <c r="E20" s="26">
        <f>3590372/100</f>
        <v>35903.72</v>
      </c>
      <c r="F20" s="26">
        <f>8528960/100</f>
        <v>85289.600000000006</v>
      </c>
      <c r="G20" s="26">
        <f>11955477/100</f>
        <v>119554.77</v>
      </c>
      <c r="H20" s="26">
        <f>14756081/100</f>
        <v>147560.81</v>
      </c>
      <c r="I20" s="26">
        <f>17943522/100</f>
        <v>179435.22</v>
      </c>
      <c r="J20" s="26">
        <v>181139.96</v>
      </c>
      <c r="K20" s="26">
        <v>212047.5</v>
      </c>
      <c r="L20" s="26">
        <v>368188.38</v>
      </c>
      <c r="M20" s="26">
        <v>288600</v>
      </c>
      <c r="N20" s="26">
        <v>388207.44</v>
      </c>
      <c r="O20" s="26">
        <v>553995.69999999995</v>
      </c>
      <c r="P20" s="26">
        <v>584741.56999999995</v>
      </c>
      <c r="Q20" s="27">
        <v>415209.57</v>
      </c>
      <c r="R20" s="27">
        <v>402988.66</v>
      </c>
      <c r="S20" s="27">
        <v>359451.21</v>
      </c>
      <c r="T20" s="27">
        <v>488882.66</v>
      </c>
      <c r="U20" s="28">
        <v>526322.79</v>
      </c>
      <c r="W20" s="11"/>
    </row>
    <row r="21" spans="1:25" ht="15" customHeight="1" x14ac:dyDescent="0.2">
      <c r="A21" s="25" t="s">
        <v>12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6">
        <f>1248638/100</f>
        <v>12486.38</v>
      </c>
      <c r="I21" s="26">
        <f>46000/100</f>
        <v>460</v>
      </c>
      <c r="J21" s="26">
        <v>748</v>
      </c>
      <c r="K21" s="26">
        <v>882</v>
      </c>
      <c r="L21" s="26">
        <v>38229</v>
      </c>
      <c r="M21" s="26">
        <v>21000</v>
      </c>
      <c r="N21" s="26">
        <v>129385.53</v>
      </c>
      <c r="O21" s="26">
        <v>65074.23</v>
      </c>
      <c r="P21" s="26">
        <v>114991.88</v>
      </c>
      <c r="Q21" s="27">
        <v>114958.66</v>
      </c>
      <c r="R21" s="27">
        <v>117231.23</v>
      </c>
      <c r="S21" s="27">
        <v>176358.47</v>
      </c>
      <c r="T21" s="27">
        <v>153351.22</v>
      </c>
      <c r="U21" s="28">
        <v>140366.23000000001</v>
      </c>
      <c r="W21" s="11"/>
    </row>
    <row r="22" spans="1:25" ht="15" customHeight="1" x14ac:dyDescent="0.2">
      <c r="A22" s="29" t="s">
        <v>13</v>
      </c>
      <c r="B22" s="30">
        <f>1144000/100</f>
        <v>11440</v>
      </c>
      <c r="C22" s="30">
        <f>3432734/100</f>
        <v>34327.339999999997</v>
      </c>
      <c r="D22" s="30">
        <f>6991256/100</f>
        <v>69912.56</v>
      </c>
      <c r="E22" s="30">
        <f>7358974/100</f>
        <v>73589.740000000005</v>
      </c>
      <c r="F22" s="30">
        <f>8936978/100</f>
        <v>89369.78</v>
      </c>
      <c r="G22" s="30">
        <f>10315886/100</f>
        <v>103158.86</v>
      </c>
      <c r="H22" s="30">
        <f>6996809/100</f>
        <v>69968.09</v>
      </c>
      <c r="I22" s="30">
        <f>8863601/100</f>
        <v>88636.01</v>
      </c>
      <c r="J22" s="30">
        <v>157444.66</v>
      </c>
      <c r="K22" s="30">
        <v>184362.5</v>
      </c>
      <c r="L22" s="30">
        <v>132897.82999999999</v>
      </c>
      <c r="M22" s="30">
        <v>200099.99999999997</v>
      </c>
      <c r="N22" s="30">
        <v>202540.56</v>
      </c>
      <c r="O22" s="30">
        <v>231133.94</v>
      </c>
      <c r="P22" s="30">
        <v>227866.59</v>
      </c>
      <c r="Q22" s="30">
        <v>246284.69</v>
      </c>
      <c r="R22" s="30">
        <v>254334.61</v>
      </c>
      <c r="S22" s="30">
        <v>394066.36</v>
      </c>
      <c r="T22" s="30">
        <v>373536.4</v>
      </c>
      <c r="U22" s="31">
        <v>402108.59</v>
      </c>
      <c r="W22" s="11"/>
    </row>
    <row r="23" spans="1:25" ht="15.75" customHeight="1" x14ac:dyDescent="0.2">
      <c r="A23" s="29" t="s">
        <v>15</v>
      </c>
      <c r="B23" s="32">
        <v>0</v>
      </c>
      <c r="C23" s="30">
        <f>35325/100</f>
        <v>353.25</v>
      </c>
      <c r="D23" s="30">
        <f>168198/100</f>
        <v>1681.98</v>
      </c>
      <c r="E23" s="30">
        <f>29667/100</f>
        <v>296.67</v>
      </c>
      <c r="F23" s="30">
        <f>213500/100</f>
        <v>2135</v>
      </c>
      <c r="G23" s="30">
        <f>3180525/100</f>
        <v>31805.25</v>
      </c>
      <c r="H23" s="30">
        <f>584000/100</f>
        <v>5840</v>
      </c>
      <c r="I23" s="30">
        <f>321900/100</f>
        <v>3219</v>
      </c>
      <c r="J23" s="30">
        <v>5821.92</v>
      </c>
      <c r="K23" s="30">
        <v>6737.5</v>
      </c>
      <c r="L23" s="30">
        <v>62488.83</v>
      </c>
      <c r="M23" s="30">
        <v>10600</v>
      </c>
      <c r="N23" s="30">
        <v>15975.45</v>
      </c>
      <c r="O23" s="30">
        <v>18536.71</v>
      </c>
      <c r="P23" s="30">
        <v>19857.810000000001</v>
      </c>
      <c r="Q23" s="30">
        <v>22268.23</v>
      </c>
      <c r="R23" s="30">
        <v>31850.39</v>
      </c>
      <c r="S23" s="30">
        <v>167362.26999999999</v>
      </c>
      <c r="T23" s="30">
        <v>16269.18</v>
      </c>
      <c r="U23" s="31">
        <v>389188.4</v>
      </c>
      <c r="W23" s="11"/>
    </row>
    <row r="24" spans="1:25" ht="15.75" customHeight="1" thickBot="1" x14ac:dyDescent="0.25">
      <c r="A24" s="39" t="s">
        <v>14</v>
      </c>
      <c r="B24" s="40">
        <v>0</v>
      </c>
      <c r="C24" s="40">
        <v>0</v>
      </c>
      <c r="D24" s="41">
        <f>1200000/100</f>
        <v>12000</v>
      </c>
      <c r="E24" s="41">
        <f>1600000/100</f>
        <v>16000</v>
      </c>
      <c r="F24" s="41">
        <f>2100000/100</f>
        <v>21000</v>
      </c>
      <c r="G24" s="41">
        <f>2231900/100</f>
        <v>22319</v>
      </c>
      <c r="H24" s="41">
        <f>1019931/100</f>
        <v>10199.31</v>
      </c>
      <c r="I24" s="41">
        <f>2775050/100</f>
        <v>27750.5</v>
      </c>
      <c r="J24" s="41">
        <v>44637.24</v>
      </c>
      <c r="K24" s="41">
        <v>52650.51</v>
      </c>
      <c r="L24" s="41">
        <v>19200.11</v>
      </c>
      <c r="M24" s="41">
        <v>12600</v>
      </c>
      <c r="N24" s="41">
        <v>9509.17</v>
      </c>
      <c r="O24" s="41">
        <v>12104.27</v>
      </c>
      <c r="P24" s="41">
        <v>11962</v>
      </c>
      <c r="Q24" s="41">
        <v>16628.79</v>
      </c>
      <c r="R24" s="41">
        <v>16063.53</v>
      </c>
      <c r="S24" s="41">
        <v>10844.76</v>
      </c>
      <c r="T24" s="41">
        <v>232512.32</v>
      </c>
      <c r="U24" s="31">
        <v>35308.589999999997</v>
      </c>
    </row>
    <row r="25" spans="1:25" ht="18" customHeight="1" thickBot="1" x14ac:dyDescent="0.25">
      <c r="A25" s="37" t="s">
        <v>16</v>
      </c>
      <c r="B25" s="38">
        <f t="shared" ref="B25:S25" si="2">B13+B18+B22+B24+B23</f>
        <v>40062</v>
      </c>
      <c r="C25" s="38">
        <f t="shared" si="2"/>
        <v>85978.47</v>
      </c>
      <c r="D25" s="38">
        <f t="shared" si="2"/>
        <v>236174.16</v>
      </c>
      <c r="E25" s="38">
        <f t="shared" si="2"/>
        <v>282957.81</v>
      </c>
      <c r="F25" s="38">
        <f t="shared" si="2"/>
        <v>432236.25</v>
      </c>
      <c r="G25" s="38">
        <f t="shared" si="2"/>
        <v>535504.52</v>
      </c>
      <c r="H25" s="38">
        <f t="shared" si="2"/>
        <v>724762.57000000007</v>
      </c>
      <c r="I25" s="38">
        <f t="shared" si="2"/>
        <v>893742.48</v>
      </c>
      <c r="J25" s="38">
        <f t="shared" si="2"/>
        <v>1046000.01</v>
      </c>
      <c r="K25" s="38">
        <f t="shared" si="2"/>
        <v>1225000.01</v>
      </c>
      <c r="L25" s="38">
        <f t="shared" si="2"/>
        <v>1403002.8100000003</v>
      </c>
      <c r="M25" s="38">
        <f t="shared" si="2"/>
        <v>1097000</v>
      </c>
      <c r="N25" s="38">
        <f t="shared" si="2"/>
        <v>1373258.9000000001</v>
      </c>
      <c r="O25" s="38">
        <f t="shared" si="2"/>
        <v>1463304.46</v>
      </c>
      <c r="P25" s="38">
        <f t="shared" si="2"/>
        <v>1466149.76</v>
      </c>
      <c r="Q25" s="38">
        <f t="shared" si="2"/>
        <v>1474964.1600000001</v>
      </c>
      <c r="R25" s="38">
        <f t="shared" si="2"/>
        <v>1481114.19</v>
      </c>
      <c r="S25" s="36">
        <f t="shared" si="2"/>
        <v>2004593.8699999999</v>
      </c>
      <c r="T25" s="36">
        <f>T13+T18+T22+T24+T23</f>
        <v>2148247.13</v>
      </c>
      <c r="U25" s="58">
        <f>U13+U18+U22+U24+U23</f>
        <v>2546548.7699999996</v>
      </c>
      <c r="W25" s="34"/>
    </row>
    <row r="26" spans="1:25" s="2" customFormat="1" ht="12.75" customHeight="1" x14ac:dyDescent="0.25">
      <c r="A26" s="24" t="s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13"/>
      <c r="L26" s="13"/>
      <c r="M26" s="13"/>
    </row>
    <row r="27" spans="1:25" s="17" customFormat="1" ht="12.75" customHeight="1" x14ac:dyDescent="0.2">
      <c r="A27" s="43" t="s">
        <v>17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16"/>
      <c r="T27" s="42"/>
      <c r="U27" s="16"/>
      <c r="V27" s="16"/>
      <c r="W27" s="16"/>
      <c r="X27" s="16"/>
      <c r="Y27" s="16"/>
    </row>
    <row r="28" spans="1:25" s="17" customFormat="1" ht="12.75" customHeight="1" x14ac:dyDescent="0.25">
      <c r="A28" s="22" t="s">
        <v>18</v>
      </c>
      <c r="B28" s="23"/>
      <c r="C28" s="23"/>
      <c r="D28" s="23"/>
      <c r="E28" s="23"/>
      <c r="F28" s="23"/>
      <c r="G28" s="23"/>
      <c r="H28" s="23"/>
      <c r="I28" s="23"/>
      <c r="J28" s="23"/>
      <c r="K28" s="15"/>
      <c r="L28" s="16"/>
      <c r="M28" s="14"/>
      <c r="N28" s="16"/>
      <c r="O28" s="18"/>
      <c r="P28" s="33"/>
      <c r="Q28" s="33"/>
      <c r="R28" s="33"/>
      <c r="S28" s="33"/>
      <c r="T28" s="16"/>
      <c r="U28" s="16"/>
      <c r="V28" s="16"/>
      <c r="W28" s="16"/>
      <c r="X28" s="16"/>
      <c r="Y28" s="16"/>
    </row>
    <row r="29" spans="1:25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P29" s="2"/>
    </row>
    <row r="30" spans="1:25" ht="26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  <c r="P30" s="33"/>
    </row>
    <row r="31" spans="1:25" ht="13.5" x14ac:dyDescent="0.25">
      <c r="A31" s="1"/>
      <c r="B31" s="19"/>
      <c r="C31" s="19"/>
      <c r="D31" s="19"/>
      <c r="E31" s="19"/>
      <c r="F31" s="19"/>
      <c r="G31" s="19"/>
      <c r="H31" s="19"/>
      <c r="I31" s="19"/>
      <c r="J31" s="19"/>
      <c r="K31" s="15"/>
      <c r="L31" s="2"/>
      <c r="P31" s="34"/>
    </row>
    <row r="32" spans="1:25" x14ac:dyDescent="0.2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  <c r="P33" s="12"/>
    </row>
    <row r="41" spans="1:17" x14ac:dyDescent="0.2">
      <c r="Q41" s="16"/>
    </row>
    <row r="42" spans="1:17" x14ac:dyDescent="0.2">
      <c r="Q42" s="16"/>
    </row>
    <row r="43" spans="1:17" x14ac:dyDescent="0.2">
      <c r="Q43" s="16"/>
    </row>
    <row r="44" spans="1:17" x14ac:dyDescent="0.2">
      <c r="Q44" s="16"/>
    </row>
    <row r="45" spans="1:17" x14ac:dyDescent="0.2">
      <c r="Q45" s="16"/>
    </row>
    <row r="46" spans="1:17" x14ac:dyDescent="0.2">
      <c r="Q46" s="16"/>
    </row>
    <row r="47" spans="1:17" x14ac:dyDescent="0.2">
      <c r="Q47" s="16"/>
    </row>
    <row r="48" spans="1:17" x14ac:dyDescent="0.2">
      <c r="Q48" s="16"/>
    </row>
    <row r="49" spans="17:17" x14ac:dyDescent="0.2">
      <c r="Q49" s="16"/>
    </row>
    <row r="50" spans="17:17" x14ac:dyDescent="0.2">
      <c r="Q50" s="16"/>
    </row>
    <row r="51" spans="17:17" x14ac:dyDescent="0.2">
      <c r="Q51" s="16"/>
    </row>
    <row r="52" spans="17:17" x14ac:dyDescent="0.2">
      <c r="Q52" s="16"/>
    </row>
  </sheetData>
  <mergeCells count="6">
    <mergeCell ref="A27:R27"/>
    <mergeCell ref="A5:R5"/>
    <mergeCell ref="A6:R6"/>
    <mergeCell ref="A7:P7"/>
    <mergeCell ref="A8:R8"/>
    <mergeCell ref="A9:R9"/>
  </mergeCells>
  <pageMargins left="0.19685039370078741" right="0.19685039370078741" top="0.74" bottom="0.3937007874015748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Produccion bajo amb. proteg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adelle borbon</dc:creator>
  <cp:lastModifiedBy>Marisleida Herrera</cp:lastModifiedBy>
  <dcterms:created xsi:type="dcterms:W3CDTF">2022-03-18T14:08:29Z</dcterms:created>
  <dcterms:modified xsi:type="dcterms:W3CDTF">2024-02-22T15:34:26Z</dcterms:modified>
</cp:coreProperties>
</file>