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 defaultThemeVersion="124226"/>
  <xr:revisionPtr revIDLastSave="0" documentId="13_ncr:1_{C5B9FB91-53AD-4CB3-8FD3-0D76AF1E21EC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Hoja1" sheetId="1" state="hidden" r:id="rId1"/>
    <sheet name="Hoja2" sheetId="2" state="hidden" r:id="rId2"/>
    <sheet name="Valor Producción" sheetId="5" r:id="rId3"/>
  </sheets>
  <definedNames>
    <definedName name="_xlnm.Print_Area" localSheetId="2">'Valor Producción'!$A$200:$O$335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2" i="5" l="1"/>
  <c r="F328" i="5" l="1"/>
  <c r="F324" i="5"/>
  <c r="F325" i="5"/>
  <c r="F326" i="5"/>
  <c r="F327" i="5"/>
  <c r="F323" i="5"/>
  <c r="F322" i="5"/>
  <c r="E288" i="5"/>
  <c r="B288" i="5"/>
  <c r="E328" i="5"/>
  <c r="F330" i="5" s="1"/>
  <c r="E318" i="5"/>
  <c r="E313" i="5"/>
  <c r="E304" i="5"/>
  <c r="E295" i="5"/>
  <c r="E291" i="5"/>
  <c r="F329" i="5" l="1"/>
  <c r="E282" i="5"/>
  <c r="E278" i="5"/>
  <c r="E276" i="5" l="1"/>
  <c r="C327" i="5"/>
  <c r="B328" i="5"/>
  <c r="B322" i="5"/>
  <c r="C322" i="5" s="1"/>
  <c r="B318" i="5"/>
  <c r="B313" i="5"/>
  <c r="B304" i="5"/>
  <c r="B295" i="5"/>
  <c r="B291" i="5"/>
  <c r="B282" i="5"/>
  <c r="B278" i="5"/>
  <c r="N250" i="5"/>
  <c r="K250" i="5"/>
  <c r="H250" i="5"/>
  <c r="E250" i="5"/>
  <c r="B250" i="5"/>
  <c r="N245" i="5"/>
  <c r="K245" i="5"/>
  <c r="H245" i="5"/>
  <c r="E245" i="5"/>
  <c r="B245" i="5"/>
  <c r="N236" i="5"/>
  <c r="K236" i="5"/>
  <c r="H236" i="5"/>
  <c r="E236" i="5"/>
  <c r="B236" i="5"/>
  <c r="N227" i="5"/>
  <c r="K227" i="5"/>
  <c r="H227" i="5"/>
  <c r="E227" i="5"/>
  <c r="B227" i="5"/>
  <c r="N223" i="5"/>
  <c r="K223" i="5"/>
  <c r="H223" i="5"/>
  <c r="E223" i="5"/>
  <c r="B223" i="5"/>
  <c r="N220" i="5"/>
  <c r="K220" i="5"/>
  <c r="H220" i="5"/>
  <c r="E220" i="5"/>
  <c r="B220" i="5"/>
  <c r="N214" i="5"/>
  <c r="K214" i="5"/>
  <c r="H214" i="5"/>
  <c r="E214" i="5"/>
  <c r="B214" i="5"/>
  <c r="N210" i="5"/>
  <c r="K210" i="5"/>
  <c r="H210" i="5"/>
  <c r="E210" i="5"/>
  <c r="B210" i="5"/>
  <c r="N254" i="5"/>
  <c r="O256" i="5" s="1"/>
  <c r="O258" i="5"/>
  <c r="E254" i="5"/>
  <c r="F258" i="5" s="1"/>
  <c r="E260" i="5"/>
  <c r="F260" i="5" s="1"/>
  <c r="N260" i="5"/>
  <c r="O261" i="5" s="1"/>
  <c r="K260" i="5"/>
  <c r="H260" i="5"/>
  <c r="I262" i="5" s="1"/>
  <c r="K254" i="5"/>
  <c r="L255" i="5" s="1"/>
  <c r="H254" i="5"/>
  <c r="I259" i="5" s="1"/>
  <c r="B260" i="5"/>
  <c r="C262" i="5" s="1"/>
  <c r="B254" i="5"/>
  <c r="C254" i="5" s="1"/>
  <c r="N187" i="5"/>
  <c r="C326" i="5" l="1"/>
  <c r="B276" i="5"/>
  <c r="C330" i="5"/>
  <c r="C328" i="5"/>
  <c r="C325" i="5"/>
  <c r="O262" i="5"/>
  <c r="F319" i="5"/>
  <c r="F318" i="5"/>
  <c r="F316" i="5"/>
  <c r="F315" i="5"/>
  <c r="F314" i="5"/>
  <c r="F313" i="5"/>
  <c r="F305" i="5"/>
  <c r="F309" i="5"/>
  <c r="F299" i="5"/>
  <c r="F300" i="5"/>
  <c r="F284" i="5"/>
  <c r="F295" i="5"/>
  <c r="F306" i="5"/>
  <c r="F310" i="5"/>
  <c r="F298" i="5"/>
  <c r="F301" i="5"/>
  <c r="F283" i="5"/>
  <c r="F307" i="5"/>
  <c r="F311" i="5"/>
  <c r="F297" i="5"/>
  <c r="F302" i="5"/>
  <c r="F308" i="5"/>
  <c r="F296" i="5"/>
  <c r="F304" i="5"/>
  <c r="E275" i="5"/>
  <c r="F293" i="5"/>
  <c r="F288" i="5"/>
  <c r="F280" i="5"/>
  <c r="F278" i="5"/>
  <c r="F289" i="5"/>
  <c r="F279" i="5"/>
  <c r="F292" i="5"/>
  <c r="F286" i="5"/>
  <c r="F282" i="5"/>
  <c r="F285" i="5"/>
  <c r="F291" i="5"/>
  <c r="C279" i="5"/>
  <c r="C318" i="5"/>
  <c r="B275" i="5"/>
  <c r="C291" i="5"/>
  <c r="C282" i="5"/>
  <c r="C329" i="5"/>
  <c r="O254" i="5"/>
  <c r="C323" i="5"/>
  <c r="C324" i="5"/>
  <c r="N208" i="5"/>
  <c r="O248" i="5" s="1"/>
  <c r="O260" i="5"/>
  <c r="O257" i="5"/>
  <c r="C288" i="5"/>
  <c r="C295" i="5"/>
  <c r="C304" i="5"/>
  <c r="C313" i="5"/>
  <c r="O226" i="5"/>
  <c r="O238" i="5"/>
  <c r="O255" i="5"/>
  <c r="O259" i="5"/>
  <c r="B208" i="5"/>
  <c r="C214" i="5" s="1"/>
  <c r="F254" i="5"/>
  <c r="F259" i="5"/>
  <c r="F257" i="5"/>
  <c r="F256" i="5"/>
  <c r="H208" i="5"/>
  <c r="I258" i="5"/>
  <c r="I256" i="5"/>
  <c r="K208" i="5"/>
  <c r="L211" i="5" s="1"/>
  <c r="C245" i="5"/>
  <c r="O225" i="5"/>
  <c r="O236" i="5"/>
  <c r="O235" i="5"/>
  <c r="I214" i="5"/>
  <c r="C223" i="5"/>
  <c r="I254" i="5"/>
  <c r="E208" i="5"/>
  <c r="C257" i="5"/>
  <c r="C259" i="5"/>
  <c r="O218" i="5"/>
  <c r="O220" i="5"/>
  <c r="O214" i="5"/>
  <c r="C261" i="5"/>
  <c r="C260" i="5"/>
  <c r="F262" i="5"/>
  <c r="I261" i="5"/>
  <c r="C255" i="5"/>
  <c r="C258" i="5"/>
  <c r="C256" i="5"/>
  <c r="F255" i="5"/>
  <c r="F261" i="5"/>
  <c r="I260" i="5"/>
  <c r="I255" i="5"/>
  <c r="I257" i="5"/>
  <c r="O239" i="5" l="1"/>
  <c r="O221" i="5"/>
  <c r="C238" i="5"/>
  <c r="O224" i="5"/>
  <c r="O230" i="5"/>
  <c r="O237" i="5"/>
  <c r="O216" i="5"/>
  <c r="O215" i="5"/>
  <c r="O250" i="5"/>
  <c r="C227" i="5"/>
  <c r="O228" i="5"/>
  <c r="O229" i="5"/>
  <c r="O232" i="5"/>
  <c r="C236" i="5"/>
  <c r="O241" i="5"/>
  <c r="O240" i="5"/>
  <c r="O217" i="5"/>
  <c r="O231" i="5"/>
  <c r="C220" i="5"/>
  <c r="O251" i="5"/>
  <c r="O247" i="5"/>
  <c r="O212" i="5"/>
  <c r="O223" i="5"/>
  <c r="C250" i="5"/>
  <c r="O227" i="5"/>
  <c r="O234" i="5"/>
  <c r="O233" i="5"/>
  <c r="O245" i="5"/>
  <c r="O242" i="5"/>
  <c r="O246" i="5"/>
  <c r="F276" i="5"/>
  <c r="O211" i="5"/>
  <c r="N207" i="5"/>
  <c r="C319" i="5"/>
  <c r="C320" i="5"/>
  <c r="C321" i="5"/>
  <c r="C306" i="5"/>
  <c r="C310" i="5"/>
  <c r="C298" i="5"/>
  <c r="C302" i="5"/>
  <c r="C289" i="5"/>
  <c r="C307" i="5"/>
  <c r="C311" i="5"/>
  <c r="C299" i="5"/>
  <c r="C296" i="5"/>
  <c r="C284" i="5"/>
  <c r="C283" i="5"/>
  <c r="C316" i="5"/>
  <c r="C308" i="5"/>
  <c r="C305" i="5"/>
  <c r="C300" i="5"/>
  <c r="C293" i="5"/>
  <c r="C285" i="5"/>
  <c r="C314" i="5"/>
  <c r="C309" i="5"/>
  <c r="C297" i="5"/>
  <c r="C301" i="5"/>
  <c r="C292" i="5"/>
  <c r="C286" i="5"/>
  <c r="C280" i="5"/>
  <c r="C315" i="5"/>
  <c r="C278" i="5"/>
  <c r="O243" i="5"/>
  <c r="O210" i="5"/>
  <c r="O208" i="5" s="1"/>
  <c r="F210" i="5"/>
  <c r="F245" i="5"/>
  <c r="F248" i="5"/>
  <c r="F240" i="5"/>
  <c r="F237" i="5"/>
  <c r="F231" i="5"/>
  <c r="F225" i="5"/>
  <c r="F217" i="5"/>
  <c r="F211" i="5"/>
  <c r="F247" i="5"/>
  <c r="F243" i="5"/>
  <c r="F216" i="5"/>
  <c r="F251" i="5"/>
  <c r="F246" i="5"/>
  <c r="F241" i="5"/>
  <c r="F234" i="5"/>
  <c r="F232" i="5"/>
  <c r="F224" i="5"/>
  <c r="F218" i="5"/>
  <c r="F238" i="5"/>
  <c r="F242" i="5"/>
  <c r="F229" i="5"/>
  <c r="F233" i="5"/>
  <c r="F221" i="5"/>
  <c r="F215" i="5"/>
  <c r="F239" i="5"/>
  <c r="F230" i="5"/>
  <c r="F228" i="5"/>
  <c r="F212" i="5"/>
  <c r="I220" i="5"/>
  <c r="I248" i="5"/>
  <c r="I240" i="5"/>
  <c r="I237" i="5"/>
  <c r="I232" i="5"/>
  <c r="I225" i="5"/>
  <c r="I217" i="5"/>
  <c r="I211" i="5"/>
  <c r="I246" i="5"/>
  <c r="I241" i="5"/>
  <c r="I229" i="5"/>
  <c r="I233" i="5"/>
  <c r="I224" i="5"/>
  <c r="I218" i="5"/>
  <c r="I216" i="5"/>
  <c r="I251" i="5"/>
  <c r="I238" i="5"/>
  <c r="I242" i="5"/>
  <c r="I230" i="5"/>
  <c r="I234" i="5"/>
  <c r="I221" i="5"/>
  <c r="I215" i="5"/>
  <c r="I247" i="5"/>
  <c r="I239" i="5"/>
  <c r="I243" i="5"/>
  <c r="I231" i="5"/>
  <c r="I228" i="5"/>
  <c r="I212" i="5"/>
  <c r="I227" i="5"/>
  <c r="I223" i="5"/>
  <c r="I236" i="5"/>
  <c r="I210" i="5"/>
  <c r="I250" i="5"/>
  <c r="I245" i="5"/>
  <c r="F220" i="5"/>
  <c r="F250" i="5"/>
  <c r="F214" i="5"/>
  <c r="F227" i="5"/>
  <c r="F223" i="5"/>
  <c r="F236" i="5"/>
  <c r="C218" i="5"/>
  <c r="C241" i="5"/>
  <c r="C211" i="5"/>
  <c r="C228" i="5"/>
  <c r="C217" i="5"/>
  <c r="C233" i="5"/>
  <c r="C239" i="5"/>
  <c r="C216" i="5"/>
  <c r="C242" i="5"/>
  <c r="B207" i="5"/>
  <c r="C215" i="5"/>
  <c r="C231" i="5"/>
  <c r="C221" i="5"/>
  <c r="C251" i="5"/>
  <c r="C225" i="5"/>
  <c r="C243" i="5"/>
  <c r="C247" i="5"/>
  <c r="C234" i="5"/>
  <c r="C248" i="5"/>
  <c r="C229" i="5"/>
  <c r="C237" i="5"/>
  <c r="C210" i="5"/>
  <c r="C232" i="5"/>
  <c r="C240" i="5"/>
  <c r="C246" i="5"/>
  <c r="C212" i="5"/>
  <c r="C224" i="5"/>
  <c r="C230" i="5"/>
  <c r="H207" i="5"/>
  <c r="C208" i="5" l="1"/>
  <c r="I208" i="5"/>
  <c r="F208" i="5"/>
  <c r="L262" i="5"/>
  <c r="E207" i="5" l="1"/>
  <c r="L261" i="5"/>
  <c r="L260" i="5"/>
  <c r="L254" i="5"/>
  <c r="L256" i="5"/>
  <c r="L257" i="5"/>
  <c r="L258" i="5"/>
  <c r="L259" i="5"/>
  <c r="L212" i="5" l="1"/>
  <c r="L210" i="5"/>
  <c r="L221" i="5"/>
  <c r="L218" i="5"/>
  <c r="L215" i="5"/>
  <c r="K207" i="5"/>
  <c r="L216" i="5"/>
  <c r="L214" i="5"/>
  <c r="L227" i="5"/>
  <c r="L229" i="5"/>
  <c r="L220" i="5"/>
  <c r="L251" i="5"/>
  <c r="L245" i="5"/>
  <c r="L239" i="5"/>
  <c r="L243" i="5"/>
  <c r="L233" i="5"/>
  <c r="L247" i="5"/>
  <c r="L237" i="5"/>
  <c r="L241" i="5"/>
  <c r="L234" i="5"/>
  <c r="L231" i="5"/>
  <c r="L250" i="5"/>
  <c r="L248" i="5"/>
  <c r="L238" i="5"/>
  <c r="L242" i="5"/>
  <c r="L228" i="5"/>
  <c r="L232" i="5"/>
  <c r="L246" i="5"/>
  <c r="L240" i="5"/>
  <c r="L236" i="5"/>
  <c r="L230" i="5"/>
  <c r="L217" i="5"/>
  <c r="L223" i="5"/>
  <c r="L224" i="5"/>
  <c r="L225" i="5"/>
  <c r="K193" i="5"/>
  <c r="L208" i="5" l="1"/>
  <c r="H154" i="5"/>
  <c r="E148" i="5"/>
  <c r="N118" i="5"/>
  <c r="N117" i="5"/>
  <c r="N101" i="5"/>
  <c r="N95" i="5"/>
  <c r="N83" i="5"/>
  <c r="K129" i="5"/>
  <c r="K128" i="5"/>
  <c r="K127" i="5"/>
  <c r="K113" i="5"/>
  <c r="K110" i="5"/>
  <c r="K89" i="5"/>
  <c r="K88" i="5"/>
  <c r="K83" i="5"/>
  <c r="H128" i="5"/>
  <c r="H108" i="5"/>
  <c r="B116" i="5"/>
  <c r="B110" i="5"/>
  <c r="B103" i="5"/>
  <c r="B100" i="5"/>
  <c r="B195" i="5"/>
  <c r="B194" i="5"/>
  <c r="D142" i="5"/>
  <c r="B192" i="5"/>
  <c r="B191" i="5"/>
  <c r="B190" i="5"/>
  <c r="B189" i="5"/>
  <c r="B188" i="5"/>
  <c r="H183" i="5"/>
  <c r="E183" i="5"/>
  <c r="B184" i="5"/>
  <c r="B183" i="5" s="1"/>
  <c r="B181" i="5"/>
  <c r="B180" i="5"/>
  <c r="B179" i="5"/>
  <c r="B176" i="5"/>
  <c r="B175" i="5"/>
  <c r="B174" i="5"/>
  <c r="B173" i="5"/>
  <c r="B172" i="5"/>
  <c r="B171" i="5"/>
  <c r="B170" i="5"/>
  <c r="B167" i="5"/>
  <c r="B166" i="5"/>
  <c r="B165" i="5"/>
  <c r="B164" i="5"/>
  <c r="B163" i="5"/>
  <c r="B162" i="5"/>
  <c r="B161" i="5"/>
  <c r="B158" i="5"/>
  <c r="N156" i="5"/>
  <c r="B157" i="5"/>
  <c r="K156" i="5"/>
  <c r="E154" i="5"/>
  <c r="B155" i="5"/>
  <c r="B154" i="5" s="1"/>
  <c r="B152" i="5"/>
  <c r="B151" i="5"/>
  <c r="B150" i="5"/>
  <c r="B149" i="5"/>
  <c r="B146" i="5"/>
  <c r="B145" i="5"/>
  <c r="N144" i="5"/>
  <c r="A138" i="5"/>
  <c r="N132" i="5"/>
  <c r="K132" i="5"/>
  <c r="H132" i="5"/>
  <c r="E132" i="5"/>
  <c r="E130" i="5" s="1"/>
  <c r="F131" i="5" s="1"/>
  <c r="B132" i="5"/>
  <c r="N131" i="5"/>
  <c r="K131" i="5"/>
  <c r="H131" i="5"/>
  <c r="B131" i="5"/>
  <c r="N129" i="5"/>
  <c r="H129" i="5"/>
  <c r="E129" i="5"/>
  <c r="B129" i="5"/>
  <c r="N128" i="5"/>
  <c r="E128" i="5"/>
  <c r="B128" i="5"/>
  <c r="N127" i="5"/>
  <c r="H127" i="5"/>
  <c r="E127" i="5"/>
  <c r="B127" i="5"/>
  <c r="N126" i="5"/>
  <c r="K126" i="5"/>
  <c r="H126" i="5"/>
  <c r="E126" i="5"/>
  <c r="B126" i="5"/>
  <c r="N125" i="5"/>
  <c r="K125" i="5"/>
  <c r="H125" i="5"/>
  <c r="E125" i="5"/>
  <c r="B125" i="5"/>
  <c r="N121" i="5"/>
  <c r="K121" i="5"/>
  <c r="K120" i="5" s="1"/>
  <c r="H121" i="5"/>
  <c r="H120" i="5" s="1"/>
  <c r="E121" i="5"/>
  <c r="B121" i="5"/>
  <c r="B120" i="5" s="1"/>
  <c r="K118" i="5"/>
  <c r="H118" i="5"/>
  <c r="E118" i="5"/>
  <c r="B118" i="5"/>
  <c r="K117" i="5"/>
  <c r="H117" i="5"/>
  <c r="E117" i="5"/>
  <c r="B117" i="5"/>
  <c r="N116" i="5"/>
  <c r="K116" i="5"/>
  <c r="H116" i="5"/>
  <c r="E116" i="5"/>
  <c r="N113" i="5"/>
  <c r="H113" i="5"/>
  <c r="E113" i="5"/>
  <c r="B113" i="5"/>
  <c r="N112" i="5"/>
  <c r="K112" i="5"/>
  <c r="H112" i="5"/>
  <c r="E112" i="5"/>
  <c r="B112" i="5"/>
  <c r="N111" i="5"/>
  <c r="K111" i="5"/>
  <c r="H111" i="5"/>
  <c r="E111" i="5"/>
  <c r="B111" i="5"/>
  <c r="N110" i="5"/>
  <c r="H110" i="5"/>
  <c r="E110" i="5"/>
  <c r="N109" i="5"/>
  <c r="K109" i="5"/>
  <c r="H109" i="5"/>
  <c r="E109" i="5"/>
  <c r="B109" i="5"/>
  <c r="N108" i="5"/>
  <c r="K108" i="5"/>
  <c r="E108" i="5"/>
  <c r="B108" i="5"/>
  <c r="N107" i="5"/>
  <c r="K107" i="5"/>
  <c r="H107" i="5"/>
  <c r="E107" i="5"/>
  <c r="B107" i="5"/>
  <c r="N104" i="5"/>
  <c r="K104" i="5"/>
  <c r="H104" i="5"/>
  <c r="E104" i="5"/>
  <c r="B104" i="5"/>
  <c r="N103" i="5"/>
  <c r="K103" i="5"/>
  <c r="H103" i="5"/>
  <c r="E103" i="5"/>
  <c r="N102" i="5"/>
  <c r="K102" i="5"/>
  <c r="H102" i="5"/>
  <c r="E102" i="5"/>
  <c r="B102" i="5"/>
  <c r="K101" i="5"/>
  <c r="H101" i="5"/>
  <c r="E101" i="5"/>
  <c r="B101" i="5"/>
  <c r="N100" i="5"/>
  <c r="K100" i="5"/>
  <c r="H100" i="5"/>
  <c r="E100" i="5"/>
  <c r="N99" i="5"/>
  <c r="K99" i="5"/>
  <c r="H99" i="5"/>
  <c r="E99" i="5"/>
  <c r="B99" i="5"/>
  <c r="N98" i="5"/>
  <c r="K98" i="5"/>
  <c r="H98" i="5"/>
  <c r="E98" i="5"/>
  <c r="B98" i="5"/>
  <c r="K95" i="5"/>
  <c r="H95" i="5"/>
  <c r="E95" i="5"/>
  <c r="B95" i="5"/>
  <c r="N94" i="5"/>
  <c r="K94" i="5"/>
  <c r="H94" i="5"/>
  <c r="E94" i="5"/>
  <c r="B94" i="5"/>
  <c r="N91" i="5"/>
  <c r="N90" i="5" s="1"/>
  <c r="K91" i="5"/>
  <c r="K90" i="5" s="1"/>
  <c r="H91" i="5"/>
  <c r="E91" i="5"/>
  <c r="B91" i="5"/>
  <c r="N89" i="5"/>
  <c r="H89" i="5"/>
  <c r="E89" i="5"/>
  <c r="B89" i="5"/>
  <c r="N88" i="5"/>
  <c r="H88" i="5"/>
  <c r="E88" i="5"/>
  <c r="B88" i="5"/>
  <c r="N87" i="5"/>
  <c r="K87" i="5"/>
  <c r="H87" i="5"/>
  <c r="E87" i="5"/>
  <c r="B87" i="5"/>
  <c r="N86" i="5"/>
  <c r="K86" i="5"/>
  <c r="H86" i="5"/>
  <c r="E86" i="5"/>
  <c r="B86" i="5"/>
  <c r="H83" i="5"/>
  <c r="E83" i="5"/>
  <c r="B83" i="5"/>
  <c r="N82" i="5"/>
  <c r="K82" i="5"/>
  <c r="H82" i="5"/>
  <c r="E82" i="5"/>
  <c r="B82" i="5"/>
  <c r="A74" i="5"/>
  <c r="N67" i="5"/>
  <c r="N66" i="5"/>
  <c r="K65" i="5"/>
  <c r="H65" i="5"/>
  <c r="I66" i="5" s="1"/>
  <c r="E65" i="5"/>
  <c r="F66" i="5" s="1"/>
  <c r="B65" i="5"/>
  <c r="N63" i="5"/>
  <c r="N62" i="5"/>
  <c r="N61" i="5"/>
  <c r="N60" i="5"/>
  <c r="N59" i="5"/>
  <c r="N58" i="5"/>
  <c r="N57" i="5"/>
  <c r="K56" i="5"/>
  <c r="L64" i="5" s="1"/>
  <c r="H56" i="5"/>
  <c r="I58" i="5" s="1"/>
  <c r="E56" i="5"/>
  <c r="F59" i="5" s="1"/>
  <c r="B56" i="5"/>
  <c r="N53" i="5"/>
  <c r="N52" i="5" s="1"/>
  <c r="K52" i="5"/>
  <c r="H52" i="5"/>
  <c r="E52" i="5"/>
  <c r="B52" i="5"/>
  <c r="N50" i="5"/>
  <c r="N49" i="5"/>
  <c r="N48" i="5"/>
  <c r="N47" i="5"/>
  <c r="K46" i="5"/>
  <c r="H46" i="5"/>
  <c r="E46" i="5"/>
  <c r="B46" i="5"/>
  <c r="N45" i="5"/>
  <c r="N44" i="5"/>
  <c r="N43" i="5"/>
  <c r="N42" i="5"/>
  <c r="N41" i="5"/>
  <c r="N40" i="5"/>
  <c r="N39" i="5"/>
  <c r="N38" i="5"/>
  <c r="K37" i="5"/>
  <c r="H37" i="5"/>
  <c r="E37" i="5"/>
  <c r="B37" i="5"/>
  <c r="N34" i="5"/>
  <c r="N33" i="5"/>
  <c r="N32" i="5"/>
  <c r="N31" i="5"/>
  <c r="N30" i="5"/>
  <c r="N29" i="5"/>
  <c r="N28" i="5"/>
  <c r="K26" i="5"/>
  <c r="H26" i="5"/>
  <c r="E26" i="5"/>
  <c r="B26" i="5"/>
  <c r="N25" i="5"/>
  <c r="N24" i="5"/>
  <c r="N23" i="5"/>
  <c r="K22" i="5"/>
  <c r="H22" i="5"/>
  <c r="E22" i="5"/>
  <c r="B22" i="5"/>
  <c r="K20" i="5"/>
  <c r="H20" i="5"/>
  <c r="E20" i="5"/>
  <c r="B20" i="5"/>
  <c r="N18" i="5"/>
  <c r="N17" i="5" s="1"/>
  <c r="K17" i="5"/>
  <c r="H17" i="5"/>
  <c r="E17" i="5"/>
  <c r="B17" i="5"/>
  <c r="N15" i="5"/>
  <c r="N14" i="5"/>
  <c r="N13" i="5"/>
  <c r="N12" i="5"/>
  <c r="K11" i="5"/>
  <c r="H11" i="5"/>
  <c r="E11" i="5"/>
  <c r="B11" i="5"/>
  <c r="N10" i="5"/>
  <c r="N9" i="5"/>
  <c r="K8" i="5"/>
  <c r="H8" i="5"/>
  <c r="E8" i="5"/>
  <c r="B8" i="5"/>
  <c r="B187" i="5" l="1"/>
  <c r="C188" i="5" s="1"/>
  <c r="N130" i="5"/>
  <c r="O131" i="5" s="1"/>
  <c r="B144" i="5"/>
  <c r="B85" i="5"/>
  <c r="N81" i="5"/>
  <c r="E93" i="5"/>
  <c r="E106" i="5"/>
  <c r="E7" i="5"/>
  <c r="F14" i="5" s="1"/>
  <c r="I67" i="5"/>
  <c r="I65" i="5" s="1"/>
  <c r="K81" i="5"/>
  <c r="N193" i="5"/>
  <c r="O194" i="5" s="1"/>
  <c r="H97" i="5"/>
  <c r="N106" i="5"/>
  <c r="B169" i="5"/>
  <c r="F64" i="5"/>
  <c r="B81" i="5"/>
  <c r="H106" i="5"/>
  <c r="H178" i="5"/>
  <c r="L62" i="5"/>
  <c r="B97" i="5"/>
  <c r="H148" i="5"/>
  <c r="E90" i="5"/>
  <c r="N148" i="5"/>
  <c r="N183" i="5"/>
  <c r="C67" i="5"/>
  <c r="C66" i="5"/>
  <c r="E115" i="5"/>
  <c r="F62" i="5"/>
  <c r="F57" i="5"/>
  <c r="F63" i="5"/>
  <c r="H7" i="5"/>
  <c r="I32" i="5" s="1"/>
  <c r="K7" i="5"/>
  <c r="I62" i="5"/>
  <c r="I60" i="5"/>
  <c r="F61" i="5"/>
  <c r="E97" i="5"/>
  <c r="K106" i="5"/>
  <c r="N124" i="5"/>
  <c r="O128" i="5" s="1"/>
  <c r="E178" i="5"/>
  <c r="B7" i="5"/>
  <c r="N11" i="5"/>
  <c r="L58" i="5"/>
  <c r="H81" i="5"/>
  <c r="K93" i="5"/>
  <c r="B106" i="5"/>
  <c r="N22" i="5"/>
  <c r="L60" i="5"/>
  <c r="K97" i="5"/>
  <c r="B130" i="5"/>
  <c r="C131" i="5" s="1"/>
  <c r="N178" i="5"/>
  <c r="K124" i="5"/>
  <c r="L128" i="5" s="1"/>
  <c r="C64" i="5"/>
  <c r="C62" i="5"/>
  <c r="C60" i="5"/>
  <c r="C58" i="5"/>
  <c r="C61" i="5"/>
  <c r="H90" i="5"/>
  <c r="L67" i="5"/>
  <c r="L66" i="5"/>
  <c r="K187" i="5"/>
  <c r="L189" i="5" s="1"/>
  <c r="N26" i="5"/>
  <c r="N46" i="5"/>
  <c r="C57" i="5"/>
  <c r="N65" i="5"/>
  <c r="O67" i="5" s="1"/>
  <c r="E81" i="5"/>
  <c r="E120" i="5"/>
  <c r="B148" i="5"/>
  <c r="N8" i="5"/>
  <c r="N37" i="5"/>
  <c r="I63" i="5"/>
  <c r="I64" i="5"/>
  <c r="I61" i="5"/>
  <c r="I59" i="5"/>
  <c r="I57" i="5"/>
  <c r="N56" i="5"/>
  <c r="O61" i="5" s="1"/>
  <c r="C59" i="5"/>
  <c r="C63" i="5"/>
  <c r="F67" i="5"/>
  <c r="F65" i="5" s="1"/>
  <c r="E85" i="5"/>
  <c r="H93" i="5"/>
  <c r="B115" i="5"/>
  <c r="N115" i="5"/>
  <c r="K115" i="5"/>
  <c r="E124" i="5"/>
  <c r="F126" i="5" s="1"/>
  <c r="B124" i="5"/>
  <c r="C128" i="5" s="1"/>
  <c r="H144" i="5"/>
  <c r="N154" i="5"/>
  <c r="H193" i="5"/>
  <c r="I194" i="5" s="1"/>
  <c r="L63" i="5"/>
  <c r="H85" i="5"/>
  <c r="B90" i="5"/>
  <c r="H124" i="5"/>
  <c r="I129" i="5" s="1"/>
  <c r="H156" i="5"/>
  <c r="H169" i="5"/>
  <c r="N169" i="5"/>
  <c r="B178" i="5"/>
  <c r="F56" i="5"/>
  <c r="L57" i="5"/>
  <c r="F58" i="5"/>
  <c r="L59" i="5"/>
  <c r="F60" i="5"/>
  <c r="L61" i="5"/>
  <c r="N85" i="5"/>
  <c r="K85" i="5"/>
  <c r="B93" i="5"/>
  <c r="N93" i="5"/>
  <c r="H115" i="5"/>
  <c r="N120" i="5"/>
  <c r="N160" i="5"/>
  <c r="H187" i="5"/>
  <c r="I190" i="5" s="1"/>
  <c r="K130" i="5"/>
  <c r="L132" i="5" s="1"/>
  <c r="E144" i="5"/>
  <c r="E160" i="5"/>
  <c r="H130" i="5"/>
  <c r="I132" i="5" s="1"/>
  <c r="K154" i="5"/>
  <c r="E156" i="5"/>
  <c r="H160" i="5"/>
  <c r="K144" i="5"/>
  <c r="B160" i="5"/>
  <c r="K160" i="5"/>
  <c r="E169" i="5"/>
  <c r="K178" i="5"/>
  <c r="K183" i="5"/>
  <c r="O192" i="5"/>
  <c r="B193" i="5"/>
  <c r="C194" i="5" s="1"/>
  <c r="F132" i="5"/>
  <c r="F130" i="5" s="1"/>
  <c r="K148" i="5"/>
  <c r="K169" i="5"/>
  <c r="L195" i="5"/>
  <c r="B156" i="5"/>
  <c r="E187" i="5"/>
  <c r="E193" i="5"/>
  <c r="F195" i="5" s="1"/>
  <c r="F191" i="5" l="1"/>
  <c r="C35" i="5"/>
  <c r="B6" i="5"/>
  <c r="L49" i="5"/>
  <c r="K6" i="5"/>
  <c r="I29" i="5"/>
  <c r="F46" i="5"/>
  <c r="F28" i="5"/>
  <c r="F11" i="5"/>
  <c r="O127" i="5"/>
  <c r="O129" i="5"/>
  <c r="O132" i="5"/>
  <c r="O130" i="5" s="1"/>
  <c r="F24" i="5"/>
  <c r="F26" i="5"/>
  <c r="F41" i="5"/>
  <c r="L40" i="5"/>
  <c r="L18" i="5"/>
  <c r="L25" i="5"/>
  <c r="L54" i="5"/>
  <c r="I45" i="5"/>
  <c r="F21" i="5"/>
  <c r="E6" i="5"/>
  <c r="F53" i="5"/>
  <c r="F31" i="5"/>
  <c r="F17" i="5"/>
  <c r="F18" i="5"/>
  <c r="F19" i="5"/>
  <c r="F27" i="5"/>
  <c r="I48" i="5"/>
  <c r="I55" i="5"/>
  <c r="F35" i="5"/>
  <c r="F8" i="5"/>
  <c r="F49" i="5"/>
  <c r="F9" i="5"/>
  <c r="F44" i="5"/>
  <c r="F33" i="5"/>
  <c r="I23" i="5"/>
  <c r="F37" i="5"/>
  <c r="F47" i="5"/>
  <c r="F34" i="5"/>
  <c r="F42" i="5"/>
  <c r="I42" i="5"/>
  <c r="I18" i="5"/>
  <c r="I34" i="5"/>
  <c r="F22" i="5"/>
  <c r="I52" i="5"/>
  <c r="I19" i="5"/>
  <c r="I47" i="5"/>
  <c r="I24" i="5"/>
  <c r="I31" i="5"/>
  <c r="I44" i="5"/>
  <c r="I27" i="5"/>
  <c r="I28" i="5"/>
  <c r="O125" i="5"/>
  <c r="C32" i="5"/>
  <c r="C30" i="5"/>
  <c r="C39" i="5"/>
  <c r="C48" i="5"/>
  <c r="L48" i="5"/>
  <c r="L55" i="5"/>
  <c r="C55" i="5"/>
  <c r="I10" i="5"/>
  <c r="I41" i="5"/>
  <c r="H6" i="5"/>
  <c r="L11" i="5"/>
  <c r="L12" i="5"/>
  <c r="B80" i="5"/>
  <c r="C107" i="5" s="1"/>
  <c r="B143" i="5"/>
  <c r="B142" i="5" s="1"/>
  <c r="C127" i="5"/>
  <c r="L52" i="5"/>
  <c r="F20" i="5"/>
  <c r="F43" i="5"/>
  <c r="F54" i="5"/>
  <c r="F30" i="5"/>
  <c r="F13" i="5"/>
  <c r="F38" i="5"/>
  <c r="F48" i="5"/>
  <c r="F52" i="5"/>
  <c r="F23" i="5"/>
  <c r="L34" i="5"/>
  <c r="L31" i="5"/>
  <c r="L27" i="5"/>
  <c r="I20" i="5"/>
  <c r="L126" i="5"/>
  <c r="L129" i="5"/>
  <c r="O57" i="5"/>
  <c r="F25" i="5"/>
  <c r="F12" i="5"/>
  <c r="F29" i="5"/>
  <c r="F45" i="5"/>
  <c r="F55" i="5"/>
  <c r="F32" i="5"/>
  <c r="F15" i="5"/>
  <c r="F40" i="5"/>
  <c r="F50" i="5"/>
  <c r="I46" i="5"/>
  <c r="F10" i="5"/>
  <c r="I35" i="5"/>
  <c r="I21" i="5"/>
  <c r="I14" i="5"/>
  <c r="I39" i="5"/>
  <c r="I49" i="5"/>
  <c r="F39" i="5"/>
  <c r="L26" i="5"/>
  <c r="L30" i="5"/>
  <c r="L33" i="5"/>
  <c r="L43" i="5"/>
  <c r="O195" i="5"/>
  <c r="O193" i="5" s="1"/>
  <c r="F189" i="5"/>
  <c r="C132" i="5"/>
  <c r="C130" i="5" s="1"/>
  <c r="C46" i="5"/>
  <c r="C11" i="5"/>
  <c r="C29" i="5"/>
  <c r="I125" i="5"/>
  <c r="L131" i="5"/>
  <c r="L130" i="5" s="1"/>
  <c r="C129" i="5"/>
  <c r="C13" i="5"/>
  <c r="I192" i="5"/>
  <c r="C54" i="5"/>
  <c r="C17" i="5"/>
  <c r="O66" i="5"/>
  <c r="O65" i="5" s="1"/>
  <c r="C27" i="5"/>
  <c r="C38" i="5"/>
  <c r="L15" i="5"/>
  <c r="L9" i="5"/>
  <c r="L50" i="5"/>
  <c r="L14" i="5"/>
  <c r="L45" i="5"/>
  <c r="E143" i="5"/>
  <c r="K143" i="5"/>
  <c r="F128" i="5"/>
  <c r="F125" i="5"/>
  <c r="C19" i="5"/>
  <c r="C26" i="5"/>
  <c r="C52" i="5"/>
  <c r="C10" i="5"/>
  <c r="C15" i="5"/>
  <c r="C40" i="5"/>
  <c r="C50" i="5"/>
  <c r="C31" i="5"/>
  <c r="C37" i="5"/>
  <c r="I126" i="5"/>
  <c r="O126" i="5"/>
  <c r="L46" i="5"/>
  <c r="C23" i="5"/>
  <c r="C45" i="5"/>
  <c r="C43" i="5"/>
  <c r="C25" i="5"/>
  <c r="C49" i="5"/>
  <c r="C34" i="5"/>
  <c r="C12" i="5"/>
  <c r="O59" i="5"/>
  <c r="L17" i="5"/>
  <c r="C18" i="5"/>
  <c r="C42" i="5"/>
  <c r="C53" i="5"/>
  <c r="C33" i="5"/>
  <c r="L24" i="5"/>
  <c r="L32" i="5"/>
  <c r="L42" i="5"/>
  <c r="L53" i="5"/>
  <c r="L35" i="5"/>
  <c r="L19" i="5"/>
  <c r="L39" i="5"/>
  <c r="L47" i="5"/>
  <c r="L22" i="5"/>
  <c r="C20" i="5"/>
  <c r="I131" i="5"/>
  <c r="I130" i="5" s="1"/>
  <c r="C125" i="5"/>
  <c r="I38" i="5"/>
  <c r="I33" i="5"/>
  <c r="I13" i="5"/>
  <c r="I9" i="5"/>
  <c r="I15" i="5"/>
  <c r="I53" i="5"/>
  <c r="I37" i="5"/>
  <c r="I8" i="5"/>
  <c r="I128" i="5"/>
  <c r="I26" i="5"/>
  <c r="I188" i="5"/>
  <c r="I56" i="5"/>
  <c r="C28" i="5"/>
  <c r="I11" i="5"/>
  <c r="L37" i="5"/>
  <c r="C22" i="5"/>
  <c r="I50" i="5"/>
  <c r="C41" i="5"/>
  <c r="C8" i="5"/>
  <c r="C14" i="5"/>
  <c r="C47" i="5"/>
  <c r="I40" i="5"/>
  <c r="I22" i="5"/>
  <c r="I17" i="5"/>
  <c r="I12" i="5"/>
  <c r="I25" i="5"/>
  <c r="I43" i="5"/>
  <c r="I54" i="5"/>
  <c r="I30" i="5"/>
  <c r="L8" i="5"/>
  <c r="C9" i="5"/>
  <c r="C24" i="5"/>
  <c r="C44" i="5"/>
  <c r="C21" i="5"/>
  <c r="L28" i="5"/>
  <c r="L38" i="5"/>
  <c r="L13" i="5"/>
  <c r="L44" i="5"/>
  <c r="L29" i="5"/>
  <c r="L10" i="5"/>
  <c r="L23" i="5"/>
  <c r="L41" i="5"/>
  <c r="L127" i="5"/>
  <c r="L125" i="5"/>
  <c r="I127" i="5"/>
  <c r="C65" i="5"/>
  <c r="K80" i="5"/>
  <c r="K79" i="5" s="1"/>
  <c r="F194" i="5"/>
  <c r="F193" i="5" s="1"/>
  <c r="I195" i="5"/>
  <c r="I193" i="5" s="1"/>
  <c r="H143" i="5"/>
  <c r="F129" i="5"/>
  <c r="F127" i="5"/>
  <c r="O62" i="5"/>
  <c r="O60" i="5"/>
  <c r="O63" i="5"/>
  <c r="C189" i="5"/>
  <c r="C191" i="5"/>
  <c r="L194" i="5"/>
  <c r="L193" i="5" s="1"/>
  <c r="C195" i="5"/>
  <c r="C193" i="5" s="1"/>
  <c r="O188" i="5"/>
  <c r="L188" i="5"/>
  <c r="L190" i="5"/>
  <c r="L192" i="5"/>
  <c r="F190" i="5"/>
  <c r="F192" i="5"/>
  <c r="F188" i="5"/>
  <c r="C192" i="5"/>
  <c r="N97" i="5"/>
  <c r="N80" i="5" s="1"/>
  <c r="N79" i="5" s="1"/>
  <c r="C126" i="5"/>
  <c r="N143" i="5"/>
  <c r="O148" i="5" s="1"/>
  <c r="L191" i="5"/>
  <c r="L65" i="5"/>
  <c r="O191" i="5"/>
  <c r="O189" i="5"/>
  <c r="O190" i="5"/>
  <c r="N7" i="5"/>
  <c r="C190" i="5"/>
  <c r="I189" i="5"/>
  <c r="I191" i="5"/>
  <c r="E80" i="5"/>
  <c r="E79" i="5" s="1"/>
  <c r="O58" i="5"/>
  <c r="C56" i="5"/>
  <c r="H80" i="5"/>
  <c r="H79" i="5" s="1"/>
  <c r="C187" i="5" l="1"/>
  <c r="N142" i="5"/>
  <c r="O149" i="5"/>
  <c r="H142" i="5"/>
  <c r="E142" i="5"/>
  <c r="O8" i="5"/>
  <c r="N6" i="5"/>
  <c r="O157" i="5"/>
  <c r="O158" i="5"/>
  <c r="O124" i="5"/>
  <c r="C95" i="5"/>
  <c r="C82" i="5"/>
  <c r="C89" i="5"/>
  <c r="C87" i="5"/>
  <c r="C101" i="5"/>
  <c r="C108" i="5"/>
  <c r="C100" i="5"/>
  <c r="C118" i="5"/>
  <c r="C117" i="5"/>
  <c r="C113" i="5"/>
  <c r="C94" i="5"/>
  <c r="C109" i="5"/>
  <c r="C116" i="5"/>
  <c r="C103" i="5"/>
  <c r="C99" i="5"/>
  <c r="C86" i="5"/>
  <c r="C121" i="5"/>
  <c r="C120" i="5" s="1"/>
  <c r="C98" i="5"/>
  <c r="C104" i="5"/>
  <c r="C83" i="5"/>
  <c r="C93" i="5"/>
  <c r="C110" i="5"/>
  <c r="C111" i="5"/>
  <c r="B79" i="5"/>
  <c r="C91" i="5"/>
  <c r="C90" i="5" s="1"/>
  <c r="C112" i="5"/>
  <c r="C105" i="5"/>
  <c r="C88" i="5"/>
  <c r="C102" i="5"/>
  <c r="L104" i="5"/>
  <c r="C174" i="5"/>
  <c r="C179" i="5"/>
  <c r="C152" i="5"/>
  <c r="C164" i="5"/>
  <c r="C180" i="5"/>
  <c r="C158" i="5"/>
  <c r="C171" i="5"/>
  <c r="C151" i="5"/>
  <c r="C155" i="5"/>
  <c r="C154" i="5" s="1"/>
  <c r="C145" i="5"/>
  <c r="C163" i="5"/>
  <c r="C184" i="5"/>
  <c r="C183" i="5" s="1"/>
  <c r="C175" i="5"/>
  <c r="C162" i="5"/>
  <c r="C181" i="5"/>
  <c r="F7" i="5"/>
  <c r="I124" i="5"/>
  <c r="C165" i="5"/>
  <c r="C166" i="5"/>
  <c r="C172" i="5"/>
  <c r="C170" i="5"/>
  <c r="C161" i="5"/>
  <c r="L7" i="5"/>
  <c r="L94" i="5"/>
  <c r="L99" i="5"/>
  <c r="L83" i="5"/>
  <c r="F161" i="5"/>
  <c r="C146" i="5"/>
  <c r="L98" i="5"/>
  <c r="C149" i="5"/>
  <c r="C173" i="5"/>
  <c r="C150" i="5"/>
  <c r="C176" i="5"/>
  <c r="L124" i="5"/>
  <c r="C124" i="5"/>
  <c r="C157" i="5"/>
  <c r="C167" i="5"/>
  <c r="F187" i="5"/>
  <c r="L95" i="5"/>
  <c r="O46" i="5"/>
  <c r="L102" i="5"/>
  <c r="L121" i="5"/>
  <c r="L120" i="5" s="1"/>
  <c r="I7" i="5"/>
  <c r="C7" i="5"/>
  <c r="L93" i="5"/>
  <c r="L82" i="5"/>
  <c r="L100" i="5"/>
  <c r="L101" i="5"/>
  <c r="F158" i="5"/>
  <c r="L145" i="5"/>
  <c r="L146" i="5"/>
  <c r="K142" i="5"/>
  <c r="O184" i="5"/>
  <c r="O183" i="5" s="1"/>
  <c r="F112" i="5"/>
  <c r="F87" i="5"/>
  <c r="F113" i="5"/>
  <c r="F116" i="5"/>
  <c r="F88" i="5"/>
  <c r="F109" i="5"/>
  <c r="F83" i="5"/>
  <c r="F117" i="5"/>
  <c r="F82" i="5"/>
  <c r="F108" i="5"/>
  <c r="F91" i="5"/>
  <c r="F90" i="5" s="1"/>
  <c r="F86" i="5"/>
  <c r="F118" i="5"/>
  <c r="F110" i="5"/>
  <c r="F107" i="5"/>
  <c r="F89" i="5"/>
  <c r="F111" i="5"/>
  <c r="O118" i="5"/>
  <c r="O116" i="5"/>
  <c r="O117" i="5"/>
  <c r="F124" i="5"/>
  <c r="I187" i="5"/>
  <c r="O165" i="5"/>
  <c r="O162" i="5"/>
  <c r="O166" i="5"/>
  <c r="O163" i="5"/>
  <c r="O167" i="5"/>
  <c r="O164" i="5"/>
  <c r="O161" i="5"/>
  <c r="L178" i="5"/>
  <c r="L162" i="5"/>
  <c r="L166" i="5"/>
  <c r="L163" i="5"/>
  <c r="L167" i="5"/>
  <c r="L164" i="5"/>
  <c r="L161" i="5"/>
  <c r="L165" i="5"/>
  <c r="I118" i="5"/>
  <c r="I109" i="5"/>
  <c r="I113" i="5"/>
  <c r="I89" i="5"/>
  <c r="I116" i="5"/>
  <c r="I110" i="5"/>
  <c r="I107" i="5"/>
  <c r="I91" i="5"/>
  <c r="I90" i="5" s="1"/>
  <c r="I86" i="5"/>
  <c r="I111" i="5"/>
  <c r="I87" i="5"/>
  <c r="I117" i="5"/>
  <c r="I108" i="5"/>
  <c r="I112" i="5"/>
  <c r="I88" i="5"/>
  <c r="I93" i="5"/>
  <c r="L103" i="5"/>
  <c r="L117" i="5"/>
  <c r="L109" i="5"/>
  <c r="L113" i="5"/>
  <c r="L87" i="5"/>
  <c r="L118" i="5"/>
  <c r="L110" i="5"/>
  <c r="L107" i="5"/>
  <c r="L91" i="5"/>
  <c r="L90" i="5" s="1"/>
  <c r="L88" i="5"/>
  <c r="L116" i="5"/>
  <c r="L111" i="5"/>
  <c r="L89" i="5"/>
  <c r="L108" i="5"/>
  <c r="L112" i="5"/>
  <c r="L86" i="5"/>
  <c r="O108" i="5"/>
  <c r="O112" i="5"/>
  <c r="O91" i="5"/>
  <c r="O90" i="5" s="1"/>
  <c r="O86" i="5"/>
  <c r="O109" i="5"/>
  <c r="O113" i="5"/>
  <c r="O101" i="5"/>
  <c r="O87" i="5"/>
  <c r="O110" i="5"/>
  <c r="O107" i="5"/>
  <c r="O100" i="5"/>
  <c r="O88" i="5"/>
  <c r="O111" i="5"/>
  <c r="O89" i="5"/>
  <c r="O95" i="5"/>
  <c r="O103" i="5"/>
  <c r="O99" i="5"/>
  <c r="O83" i="5"/>
  <c r="O98" i="5"/>
  <c r="O102" i="5"/>
  <c r="O94" i="5"/>
  <c r="O121" i="5"/>
  <c r="O120" i="5" s="1"/>
  <c r="O82" i="5"/>
  <c r="O104" i="5"/>
  <c r="O93" i="5"/>
  <c r="O180" i="5"/>
  <c r="O176" i="5"/>
  <c r="O174" i="5"/>
  <c r="O172" i="5"/>
  <c r="O170" i="5"/>
  <c r="O181" i="5"/>
  <c r="O173" i="5"/>
  <c r="O179" i="5"/>
  <c r="O152" i="5"/>
  <c r="O150" i="5"/>
  <c r="O145" i="5"/>
  <c r="O171" i="5"/>
  <c r="O155" i="5"/>
  <c r="O154" i="5" s="1"/>
  <c r="O175" i="5"/>
  <c r="O146" i="5"/>
  <c r="O144" i="5" s="1"/>
  <c r="O151" i="5"/>
  <c r="O178" i="5"/>
  <c r="L187" i="5"/>
  <c r="L181" i="5"/>
  <c r="L179" i="5"/>
  <c r="L175" i="5"/>
  <c r="L173" i="5"/>
  <c r="L171" i="5"/>
  <c r="L170" i="5"/>
  <c r="L158" i="5"/>
  <c r="L176" i="5"/>
  <c r="L149" i="5"/>
  <c r="L172" i="5"/>
  <c r="L184" i="5"/>
  <c r="L183" i="5" s="1"/>
  <c r="L151" i="5"/>
  <c r="L174" i="5"/>
  <c r="L152" i="5"/>
  <c r="L155" i="5"/>
  <c r="L154" i="5" s="1"/>
  <c r="L150" i="5"/>
  <c r="L157" i="5"/>
  <c r="L180" i="5"/>
  <c r="I180" i="5"/>
  <c r="I176" i="5"/>
  <c r="I174" i="5"/>
  <c r="I172" i="5"/>
  <c r="I170" i="5"/>
  <c r="I184" i="5"/>
  <c r="I183" i="5" s="1"/>
  <c r="I175" i="5"/>
  <c r="I155" i="5"/>
  <c r="I154" i="5" s="1"/>
  <c r="I173" i="5"/>
  <c r="I167" i="5"/>
  <c r="I152" i="5"/>
  <c r="I162" i="5"/>
  <c r="I145" i="5"/>
  <c r="I179" i="5"/>
  <c r="I166" i="5"/>
  <c r="I158" i="5"/>
  <c r="I181" i="5"/>
  <c r="I149" i="5"/>
  <c r="I164" i="5"/>
  <c r="I150" i="5"/>
  <c r="I147" i="5"/>
  <c r="I163" i="5"/>
  <c r="I171" i="5"/>
  <c r="I151" i="5"/>
  <c r="I165" i="5"/>
  <c r="I146" i="5"/>
  <c r="I157" i="5"/>
  <c r="I161" i="5"/>
  <c r="I121" i="5"/>
  <c r="I120" i="5" s="1"/>
  <c r="I95" i="5"/>
  <c r="I103" i="5"/>
  <c r="I99" i="5"/>
  <c r="I101" i="5"/>
  <c r="I82" i="5"/>
  <c r="I94" i="5"/>
  <c r="I100" i="5"/>
  <c r="I83" i="5"/>
  <c r="I98" i="5"/>
  <c r="I104" i="5"/>
  <c r="I102" i="5"/>
  <c r="F94" i="5"/>
  <c r="F102" i="5"/>
  <c r="F104" i="5"/>
  <c r="F98" i="5"/>
  <c r="F100" i="5"/>
  <c r="F99" i="5"/>
  <c r="F121" i="5"/>
  <c r="F120" i="5" s="1"/>
  <c r="F93" i="5"/>
  <c r="F101" i="5"/>
  <c r="F103" i="5"/>
  <c r="F95" i="5"/>
  <c r="O48" i="5"/>
  <c r="O38" i="5"/>
  <c r="O35" i="5"/>
  <c r="O33" i="5"/>
  <c r="O12" i="5"/>
  <c r="O27" i="5"/>
  <c r="O31" i="5"/>
  <c r="O14" i="5"/>
  <c r="O29" i="5"/>
  <c r="O25" i="5"/>
  <c r="O17" i="5"/>
  <c r="O44" i="5"/>
  <c r="O11" i="5"/>
  <c r="O28" i="5"/>
  <c r="O43" i="5"/>
  <c r="O52" i="5"/>
  <c r="O22" i="5"/>
  <c r="O34" i="5"/>
  <c r="O39" i="5"/>
  <c r="O49" i="5"/>
  <c r="O18" i="5"/>
  <c r="O13" i="5"/>
  <c r="O23" i="5"/>
  <c r="O45" i="5"/>
  <c r="O10" i="5"/>
  <c r="O30" i="5"/>
  <c r="O47" i="5"/>
  <c r="O15" i="5"/>
  <c r="O42" i="5"/>
  <c r="O24" i="5"/>
  <c r="O40" i="5"/>
  <c r="O53" i="5"/>
  <c r="O9" i="5"/>
  <c r="O32" i="5"/>
  <c r="O41" i="5"/>
  <c r="O50" i="5"/>
  <c r="F150" i="5"/>
  <c r="F181" i="5"/>
  <c r="F179" i="5"/>
  <c r="F175" i="5"/>
  <c r="F173" i="5"/>
  <c r="F171" i="5"/>
  <c r="F167" i="5"/>
  <c r="F180" i="5"/>
  <c r="F172" i="5"/>
  <c r="F170" i="5"/>
  <c r="F165" i="5"/>
  <c r="F151" i="5"/>
  <c r="F149" i="5"/>
  <c r="F176" i="5"/>
  <c r="F163" i="5"/>
  <c r="F146" i="5"/>
  <c r="F145" i="5"/>
  <c r="F162" i="5"/>
  <c r="F164" i="5"/>
  <c r="F157" i="5"/>
  <c r="F184" i="5"/>
  <c r="F183" i="5" s="1"/>
  <c r="F155" i="5"/>
  <c r="F154" i="5" s="1"/>
  <c r="F166" i="5"/>
  <c r="F174" i="5"/>
  <c r="F152" i="5"/>
  <c r="O26" i="5"/>
  <c r="O37" i="5"/>
  <c r="O187" i="5"/>
  <c r="C81" i="5" l="1"/>
  <c r="C115" i="5"/>
  <c r="C85" i="5"/>
  <c r="C144" i="5"/>
  <c r="C106" i="5"/>
  <c r="C97" i="5"/>
  <c r="C178" i="5"/>
  <c r="C156" i="5"/>
  <c r="C160" i="5"/>
  <c r="C169" i="5"/>
  <c r="L81" i="5"/>
  <c r="C148" i="5"/>
  <c r="O85" i="5"/>
  <c r="F97" i="5"/>
  <c r="L85" i="5"/>
  <c r="L97" i="5"/>
  <c r="I81" i="5"/>
  <c r="O81" i="5"/>
  <c r="F85" i="5"/>
  <c r="F156" i="5"/>
  <c r="L144" i="5"/>
  <c r="O156" i="5"/>
  <c r="F106" i="5"/>
  <c r="I106" i="5"/>
  <c r="O115" i="5"/>
  <c r="F115" i="5"/>
  <c r="O7" i="5"/>
  <c r="F81" i="5"/>
  <c r="O169" i="5"/>
  <c r="I169" i="5"/>
  <c r="F160" i="5"/>
  <c r="F169" i="5"/>
  <c r="I160" i="5"/>
  <c r="L169" i="5"/>
  <c r="L160" i="5"/>
  <c r="F148" i="5"/>
  <c r="I156" i="5"/>
  <c r="L148" i="5"/>
  <c r="F144" i="5"/>
  <c r="I144" i="5"/>
  <c r="I148" i="5"/>
  <c r="I178" i="5"/>
  <c r="L156" i="5"/>
  <c r="O160" i="5"/>
  <c r="O143" i="5" s="1"/>
  <c r="I97" i="5"/>
  <c r="I85" i="5"/>
  <c r="I115" i="5"/>
  <c r="L106" i="5"/>
  <c r="L115" i="5"/>
  <c r="O97" i="5"/>
  <c r="O106" i="5"/>
  <c r="F178" i="5"/>
  <c r="C80" i="5" l="1"/>
  <c r="C143" i="5"/>
  <c r="I80" i="5"/>
  <c r="O80" i="5"/>
  <c r="I143" i="5"/>
  <c r="L143" i="5"/>
  <c r="F80" i="5"/>
  <c r="F143" i="5"/>
  <c r="L80" i="5"/>
  <c r="O181" i="2" l="1"/>
  <c r="O82" i="2"/>
  <c r="O81" i="2" s="1"/>
  <c r="A139" i="2" l="1"/>
  <c r="A76" i="2"/>
  <c r="P100" i="2" l="1"/>
  <c r="I146" i="2"/>
  <c r="B146" i="2"/>
  <c r="I173" i="2" l="1"/>
  <c r="M189" i="2"/>
  <c r="M182" i="2"/>
  <c r="M178" i="2"/>
  <c r="M173" i="2"/>
  <c r="M164" i="2"/>
  <c r="M158" i="2"/>
  <c r="M156" i="2"/>
  <c r="M150" i="2"/>
  <c r="M146" i="2"/>
  <c r="F173" i="2"/>
  <c r="I150" i="2"/>
  <c r="I158" i="2"/>
  <c r="I164" i="2"/>
  <c r="I182" i="2"/>
  <c r="I189" i="2"/>
  <c r="N185" i="2" l="1"/>
  <c r="N190" i="2"/>
  <c r="M145" i="2"/>
  <c r="N186" i="2"/>
  <c r="N183" i="2"/>
  <c r="N184" i="2"/>
  <c r="N187" i="2"/>
  <c r="N191" i="2"/>
  <c r="E146" i="2"/>
  <c r="E158" i="2"/>
  <c r="E164" i="2"/>
  <c r="E173" i="2"/>
  <c r="E182" i="2"/>
  <c r="E189" i="2"/>
  <c r="B173" i="2"/>
  <c r="B164" i="2"/>
  <c r="B158" i="2"/>
  <c r="B150" i="2"/>
  <c r="P111" i="2"/>
  <c r="P95" i="2"/>
  <c r="P88" i="2"/>
  <c r="P83" i="2"/>
  <c r="M83" i="2"/>
  <c r="M88" i="2"/>
  <c r="M95" i="2"/>
  <c r="M100" i="2"/>
  <c r="M111" i="2"/>
  <c r="M115" i="2"/>
  <c r="M119" i="2"/>
  <c r="M126" i="2"/>
  <c r="N129" i="2" s="1"/>
  <c r="I83" i="2"/>
  <c r="I88" i="2"/>
  <c r="I95" i="2"/>
  <c r="I100" i="2"/>
  <c r="I111" i="2"/>
  <c r="I115" i="2"/>
  <c r="I119" i="2"/>
  <c r="K125" i="2" s="1"/>
  <c r="I126" i="2"/>
  <c r="K129" i="2" s="1"/>
  <c r="E83" i="2"/>
  <c r="E88" i="2"/>
  <c r="E95" i="2"/>
  <c r="E100" i="2"/>
  <c r="E111" i="2"/>
  <c r="E115" i="2"/>
  <c r="E119" i="2"/>
  <c r="E126" i="2"/>
  <c r="G129" i="2" s="1"/>
  <c r="B95" i="2"/>
  <c r="B115" i="2"/>
  <c r="B100" i="2"/>
  <c r="B83" i="2"/>
  <c r="B111" i="2"/>
  <c r="B119" i="2"/>
  <c r="C125" i="2" s="1"/>
  <c r="B126" i="2"/>
  <c r="N189" i="2" l="1"/>
  <c r="N150" i="2"/>
  <c r="N125" i="2"/>
  <c r="C129" i="2"/>
  <c r="C127" i="2"/>
  <c r="C128" i="2"/>
  <c r="N158" i="2"/>
  <c r="N152" i="2"/>
  <c r="N153" i="2"/>
  <c r="N172" i="2"/>
  <c r="N164" i="2"/>
  <c r="N176" i="2"/>
  <c r="N151" i="2"/>
  <c r="N148" i="2"/>
  <c r="M144" i="2"/>
  <c r="N157" i="2"/>
  <c r="N169" i="2"/>
  <c r="N168" i="2"/>
  <c r="N147" i="2"/>
  <c r="N154" i="2"/>
  <c r="N146" i="2"/>
  <c r="N149" i="2"/>
  <c r="N178" i="2"/>
  <c r="N156" i="2"/>
  <c r="N162" i="2"/>
  <c r="N159" i="2"/>
  <c r="N165" i="2"/>
  <c r="N160" i="2"/>
  <c r="N177" i="2"/>
  <c r="N182" i="2"/>
  <c r="N166" i="2"/>
  <c r="N171" i="2"/>
  <c r="N167" i="2"/>
  <c r="N175" i="2"/>
  <c r="N179" i="2"/>
  <c r="N170" i="2"/>
  <c r="N173" i="2"/>
  <c r="G124" i="2"/>
  <c r="G122" i="2"/>
  <c r="G120" i="2"/>
  <c r="G125" i="2"/>
  <c r="G123" i="2"/>
  <c r="G121" i="2"/>
  <c r="C126" i="2" l="1"/>
  <c r="N145" i="2"/>
  <c r="G119" i="2"/>
  <c r="P26" i="2" l="1"/>
  <c r="M26" i="2"/>
  <c r="I26" i="2"/>
  <c r="E26" i="2"/>
  <c r="B26" i="2"/>
  <c r="C122" i="2" l="1"/>
  <c r="P46" i="2"/>
  <c r="P52" i="2"/>
  <c r="C124" i="2" l="1"/>
  <c r="C120" i="2"/>
  <c r="C123" i="2"/>
  <c r="C121" i="2"/>
  <c r="C119" i="2" l="1"/>
  <c r="B56" i="2"/>
  <c r="C59" i="2" s="1"/>
  <c r="E65" i="2"/>
  <c r="E56" i="2"/>
  <c r="I56" i="2"/>
  <c r="P126" i="2"/>
  <c r="P115" i="2"/>
  <c r="B88" i="2"/>
  <c r="D82" i="2"/>
  <c r="F82" i="2"/>
  <c r="F81" i="2" s="1"/>
  <c r="J82" i="2"/>
  <c r="J81" i="2" s="1"/>
  <c r="L82" i="2"/>
  <c r="L81" i="2" s="1"/>
  <c r="C64" i="2" l="1"/>
  <c r="C62" i="2"/>
  <c r="C60" i="2"/>
  <c r="C58" i="2"/>
  <c r="C57" i="2"/>
  <c r="C63" i="2"/>
  <c r="C61" i="2"/>
  <c r="I156" i="2"/>
  <c r="D182" i="2"/>
  <c r="G185" i="2"/>
  <c r="F182" i="2"/>
  <c r="H182" i="2"/>
  <c r="K185" i="2"/>
  <c r="B182" i="2"/>
  <c r="C185" i="2" s="1"/>
  <c r="D189" i="2"/>
  <c r="G190" i="2"/>
  <c r="F189" i="2"/>
  <c r="H189" i="2"/>
  <c r="K190" i="2"/>
  <c r="B189" i="2"/>
  <c r="C190" i="2" s="1"/>
  <c r="D178" i="2"/>
  <c r="E178" i="2"/>
  <c r="F178" i="2"/>
  <c r="H178" i="2"/>
  <c r="I178" i="2"/>
  <c r="B178" i="2"/>
  <c r="D173" i="2"/>
  <c r="H173" i="2"/>
  <c r="D164" i="2"/>
  <c r="F164" i="2"/>
  <c r="H164" i="2"/>
  <c r="F145" i="2" l="1"/>
  <c r="C56" i="2"/>
  <c r="G183" i="2"/>
  <c r="C183" i="2"/>
  <c r="G184" i="2"/>
  <c r="C184" i="2"/>
  <c r="G186" i="2"/>
  <c r="G191" i="2"/>
  <c r="G189" i="2" s="1"/>
  <c r="C186" i="2"/>
  <c r="C191" i="2"/>
  <c r="C189" i="2" s="1"/>
  <c r="K183" i="2"/>
  <c r="K186" i="2"/>
  <c r="K184" i="2"/>
  <c r="K191" i="2"/>
  <c r="K189" i="2" s="1"/>
  <c r="K187" i="2"/>
  <c r="G187" i="2"/>
  <c r="C187" i="2"/>
  <c r="Q128" i="2"/>
  <c r="K128" i="2"/>
  <c r="H126" i="2"/>
  <c r="G128" i="2"/>
  <c r="K122" i="2"/>
  <c r="H119" i="2"/>
  <c r="H115" i="2"/>
  <c r="H82" i="2" s="1"/>
  <c r="P119" i="2" l="1"/>
  <c r="Q124" i="2" s="1"/>
  <c r="H81" i="2"/>
  <c r="N127" i="2"/>
  <c r="G182" i="2"/>
  <c r="K182" i="2"/>
  <c r="C182" i="2"/>
  <c r="K127" i="2"/>
  <c r="K126" i="2" s="1"/>
  <c r="K123" i="2"/>
  <c r="K124" i="2"/>
  <c r="G127" i="2"/>
  <c r="G126" i="2" s="1"/>
  <c r="Q127" i="2"/>
  <c r="Q126" i="2" s="1"/>
  <c r="K120" i="2"/>
  <c r="K121" i="2"/>
  <c r="Q121" i="2" l="1"/>
  <c r="Q120" i="2"/>
  <c r="Q122" i="2"/>
  <c r="Q123" i="2"/>
  <c r="N122" i="2"/>
  <c r="N121" i="2"/>
  <c r="N123" i="2"/>
  <c r="N120" i="2"/>
  <c r="N124" i="2"/>
  <c r="N128" i="2"/>
  <c r="N126" i="2" s="1"/>
  <c r="K119" i="2"/>
  <c r="Q119" i="2" l="1"/>
  <c r="N119" i="2"/>
  <c r="M93" i="2"/>
  <c r="E156" i="2"/>
  <c r="P93" i="2" l="1"/>
  <c r="P82" i="2" s="1"/>
  <c r="Q99" i="2" l="1"/>
  <c r="Q86" i="2"/>
  <c r="Q100" i="2"/>
  <c r="Q114" i="2"/>
  <c r="Q113" i="2"/>
  <c r="B156" i="2"/>
  <c r="B145" i="2" s="1"/>
  <c r="E150" i="2"/>
  <c r="C179" i="2" l="1"/>
  <c r="C164" i="2"/>
  <c r="C149" i="2"/>
  <c r="C146" i="2"/>
  <c r="C177" i="2"/>
  <c r="C172" i="2"/>
  <c r="C176" i="2"/>
  <c r="E145" i="2"/>
  <c r="G149" i="2" s="1"/>
  <c r="P65" i="2"/>
  <c r="P56" i="2"/>
  <c r="P37" i="2"/>
  <c r="P22" i="2"/>
  <c r="P11" i="2"/>
  <c r="P8" i="2"/>
  <c r="M65" i="2"/>
  <c r="M56" i="2"/>
  <c r="M52" i="2"/>
  <c r="M46" i="2"/>
  <c r="M37" i="2"/>
  <c r="M22" i="2"/>
  <c r="M20" i="2"/>
  <c r="M17" i="2"/>
  <c r="M11" i="2"/>
  <c r="M8" i="2"/>
  <c r="I65" i="2"/>
  <c r="I52" i="2"/>
  <c r="I46" i="2"/>
  <c r="I37" i="2"/>
  <c r="I22" i="2"/>
  <c r="I20" i="2"/>
  <c r="I17" i="2"/>
  <c r="I11" i="2"/>
  <c r="I8" i="2"/>
  <c r="E52" i="2"/>
  <c r="E46" i="2"/>
  <c r="E37" i="2"/>
  <c r="E22" i="2"/>
  <c r="E20" i="2"/>
  <c r="E17" i="2"/>
  <c r="E11" i="2"/>
  <c r="E8" i="2"/>
  <c r="B65" i="2"/>
  <c r="B52" i="2"/>
  <c r="B46" i="2"/>
  <c r="B37" i="2"/>
  <c r="B22" i="2"/>
  <c r="B20" i="2"/>
  <c r="B17" i="2"/>
  <c r="B11" i="2"/>
  <c r="B8" i="2"/>
  <c r="G179" i="2" l="1"/>
  <c r="G178" i="2" s="1"/>
  <c r="G177" i="2"/>
  <c r="G176" i="2"/>
  <c r="G172" i="2"/>
  <c r="M82" i="2"/>
  <c r="E7" i="2"/>
  <c r="G27" i="2" s="1"/>
  <c r="I7" i="2"/>
  <c r="I6" i="2" s="1"/>
  <c r="M7" i="2"/>
  <c r="P7" i="2"/>
  <c r="B7" i="2"/>
  <c r="I145" i="2"/>
  <c r="C178" i="2"/>
  <c r="C175" i="2"/>
  <c r="C173" i="2" s="1"/>
  <c r="C167" i="2"/>
  <c r="C169" i="2"/>
  <c r="C171" i="2"/>
  <c r="C165" i="2"/>
  <c r="C152" i="2"/>
  <c r="C148" i="2"/>
  <c r="B144" i="2"/>
  <c r="C166" i="2"/>
  <c r="C168" i="2"/>
  <c r="C170" i="2"/>
  <c r="C153" i="2"/>
  <c r="C147" i="2"/>
  <c r="C162" i="2"/>
  <c r="C158" i="2"/>
  <c r="C157" i="2"/>
  <c r="C151" i="2"/>
  <c r="G166" i="2"/>
  <c r="G168" i="2"/>
  <c r="G170" i="2"/>
  <c r="G165" i="2"/>
  <c r="G147" i="2"/>
  <c r="G175" i="2"/>
  <c r="G167" i="2"/>
  <c r="G169" i="2"/>
  <c r="G171" i="2"/>
  <c r="G162" i="2"/>
  <c r="E144" i="2"/>
  <c r="G146" i="2"/>
  <c r="C154" i="2"/>
  <c r="I93" i="2"/>
  <c r="I82" i="2" s="1"/>
  <c r="E93" i="2"/>
  <c r="E82" i="2" s="1"/>
  <c r="B93" i="2"/>
  <c r="B82" i="2" s="1"/>
  <c r="G86" i="2" l="1"/>
  <c r="G98" i="2"/>
  <c r="C86" i="2"/>
  <c r="C98" i="2"/>
  <c r="K86" i="2"/>
  <c r="K98" i="2"/>
  <c r="K149" i="2"/>
  <c r="K179" i="2"/>
  <c r="K178" i="2" s="1"/>
  <c r="K146" i="2"/>
  <c r="N98" i="2"/>
  <c r="N86" i="2"/>
  <c r="N99" i="2"/>
  <c r="N104" i="2"/>
  <c r="N100" i="2"/>
  <c r="G114" i="2"/>
  <c r="G109" i="2"/>
  <c r="G104" i="2"/>
  <c r="G118" i="2"/>
  <c r="G113" i="2"/>
  <c r="G117" i="2"/>
  <c r="G111" i="2"/>
  <c r="G115" i="2"/>
  <c r="C114" i="2"/>
  <c r="C109" i="2"/>
  <c r="C118" i="2"/>
  <c r="C113" i="2"/>
  <c r="C104" i="2"/>
  <c r="C117" i="2"/>
  <c r="C115" i="2"/>
  <c r="K113" i="2"/>
  <c r="K118" i="2"/>
  <c r="K114" i="2"/>
  <c r="K109" i="2"/>
  <c r="K104" i="2"/>
  <c r="K117" i="2"/>
  <c r="K115" i="2"/>
  <c r="N113" i="2"/>
  <c r="N110" i="2"/>
  <c r="N117" i="2"/>
  <c r="N114" i="2"/>
  <c r="N109" i="2"/>
  <c r="N118" i="2"/>
  <c r="N115" i="2"/>
  <c r="G173" i="2"/>
  <c r="E6" i="2"/>
  <c r="K176" i="2"/>
  <c r="K172" i="2"/>
  <c r="K162" i="2"/>
  <c r="K177" i="2"/>
  <c r="I144" i="2"/>
  <c r="M81" i="2"/>
  <c r="N84" i="2"/>
  <c r="G34" i="2"/>
  <c r="K46" i="2"/>
  <c r="G35" i="2"/>
  <c r="G30" i="2"/>
  <c r="G31" i="2"/>
  <c r="G32" i="2"/>
  <c r="G28" i="2"/>
  <c r="G33" i="2"/>
  <c r="G29" i="2"/>
  <c r="B81" i="2"/>
  <c r="C35" i="2"/>
  <c r="C27" i="2"/>
  <c r="C30" i="2"/>
  <c r="C32" i="2"/>
  <c r="C34" i="2"/>
  <c r="C28" i="2"/>
  <c r="C29" i="2"/>
  <c r="C31" i="2"/>
  <c r="C33" i="2"/>
  <c r="P81" i="2"/>
  <c r="K28" i="2"/>
  <c r="K32" i="2"/>
  <c r="K27" i="2"/>
  <c r="K29" i="2"/>
  <c r="K31" i="2"/>
  <c r="K33" i="2"/>
  <c r="K35" i="2"/>
  <c r="K30" i="2"/>
  <c r="K34" i="2"/>
  <c r="I81" i="2"/>
  <c r="M6" i="2"/>
  <c r="N28" i="2"/>
  <c r="N27" i="2"/>
  <c r="N29" i="2"/>
  <c r="N31" i="2"/>
  <c r="N33" i="2"/>
  <c r="N35" i="2"/>
  <c r="N30" i="2"/>
  <c r="N32" i="2"/>
  <c r="N34" i="2"/>
  <c r="E81" i="2"/>
  <c r="P6" i="2"/>
  <c r="Q35" i="2"/>
  <c r="Q33" i="2"/>
  <c r="Q31" i="2"/>
  <c r="Q29" i="2"/>
  <c r="Q34" i="2"/>
  <c r="Q32" i="2"/>
  <c r="Q30" i="2"/>
  <c r="Q28" i="2"/>
  <c r="C49" i="2"/>
  <c r="B6" i="2"/>
  <c r="C53" i="2"/>
  <c r="C46" i="2"/>
  <c r="C48" i="2"/>
  <c r="C55" i="2"/>
  <c r="C54" i="2"/>
  <c r="C50" i="2"/>
  <c r="C52" i="2"/>
  <c r="C47" i="2"/>
  <c r="G164" i="2"/>
  <c r="K175" i="2"/>
  <c r="K167" i="2"/>
  <c r="K169" i="2"/>
  <c r="K171" i="2"/>
  <c r="K166" i="2"/>
  <c r="K168" i="2"/>
  <c r="K170" i="2"/>
  <c r="K165" i="2"/>
  <c r="K173" i="2" l="1"/>
  <c r="K164" i="2"/>
  <c r="Q109" i="2"/>
  <c r="Q116" i="2"/>
  <c r="Q115" i="2" s="1"/>
  <c r="Q112" i="2"/>
  <c r="Q111" i="2"/>
  <c r="Q107" i="2"/>
  <c r="Q105" i="2"/>
  <c r="Q103" i="2"/>
  <c r="Q102" i="2"/>
  <c r="Q101" i="2"/>
  <c r="Q108" i="2"/>
  <c r="Q106" i="2"/>
  <c r="C88" i="2"/>
  <c r="C116" i="2"/>
  <c r="C112" i="2"/>
  <c r="C108" i="2"/>
  <c r="C106" i="2"/>
  <c r="C105" i="2"/>
  <c r="C103" i="2"/>
  <c r="C102" i="2"/>
  <c r="C101" i="2"/>
  <c r="C107" i="2"/>
  <c r="C99" i="2"/>
  <c r="C111" i="2"/>
  <c r="C100" i="2"/>
  <c r="K116" i="2"/>
  <c r="K112" i="2"/>
  <c r="K108" i="2"/>
  <c r="K106" i="2"/>
  <c r="K105" i="2"/>
  <c r="K103" i="2"/>
  <c r="K102" i="2"/>
  <c r="K101" i="2"/>
  <c r="K111" i="2"/>
  <c r="K107" i="2"/>
  <c r="K99" i="2"/>
  <c r="K100" i="2"/>
  <c r="N88" i="2"/>
  <c r="N116" i="2"/>
  <c r="N111" i="2"/>
  <c r="N107" i="2"/>
  <c r="N101" i="2"/>
  <c r="N106" i="2"/>
  <c r="N105" i="2"/>
  <c r="N112" i="2"/>
  <c r="N103" i="2"/>
  <c r="N108" i="2"/>
  <c r="N102" i="2"/>
  <c r="G107" i="2"/>
  <c r="G99" i="2"/>
  <c r="G116" i="2"/>
  <c r="G112" i="2"/>
  <c r="G108" i="2"/>
  <c r="G106" i="2"/>
  <c r="G105" i="2"/>
  <c r="G103" i="2"/>
  <c r="G102" i="2"/>
  <c r="G101" i="2"/>
  <c r="G100" i="2"/>
  <c r="N95" i="2"/>
  <c r="N89" i="2"/>
  <c r="Q84" i="2"/>
  <c r="Q94" i="2"/>
  <c r="Q93" i="2" s="1"/>
  <c r="N97" i="2"/>
  <c r="C93" i="2"/>
  <c r="N94" i="2"/>
  <c r="C97" i="2"/>
  <c r="C94" i="2"/>
  <c r="C90" i="2"/>
  <c r="C85" i="2"/>
  <c r="C83" i="2"/>
  <c r="C91" i="2"/>
  <c r="C96" i="2"/>
  <c r="C92" i="2"/>
  <c r="C84" i="2"/>
  <c r="C89" i="2"/>
  <c r="C95" i="2"/>
  <c r="G91" i="2"/>
  <c r="Q97" i="2"/>
  <c r="Q90" i="2"/>
  <c r="K94" i="2"/>
  <c r="G88" i="2"/>
  <c r="G95" i="2"/>
  <c r="G85" i="2"/>
  <c r="G97" i="2"/>
  <c r="G94" i="2"/>
  <c r="G89" i="2"/>
  <c r="G96" i="2"/>
  <c r="K89" i="2"/>
  <c r="K96" i="2"/>
  <c r="G90" i="2"/>
  <c r="G84" i="2"/>
  <c r="G83" i="2"/>
  <c r="G92" i="2"/>
  <c r="G93" i="2"/>
  <c r="Q91" i="2"/>
  <c r="Q92" i="2"/>
  <c r="Q85" i="2"/>
  <c r="Q96" i="2"/>
  <c r="Q89" i="2"/>
  <c r="N91" i="2"/>
  <c r="N92" i="2"/>
  <c r="K84" i="2"/>
  <c r="K95" i="2"/>
  <c r="K88" i="2"/>
  <c r="N93" i="2"/>
  <c r="K85" i="2"/>
  <c r="K91" i="2"/>
  <c r="N85" i="2"/>
  <c r="N83" i="2" s="1"/>
  <c r="K90" i="2"/>
  <c r="K97" i="2"/>
  <c r="N96" i="2"/>
  <c r="N90" i="2"/>
  <c r="K92" i="2"/>
  <c r="K93" i="2"/>
  <c r="G82" i="2" l="1"/>
  <c r="C82" i="2"/>
  <c r="Q83" i="2"/>
  <c r="N82" i="2"/>
  <c r="Q95" i="2"/>
  <c r="K83" i="2"/>
  <c r="K82" i="2" s="1"/>
  <c r="Q88" i="2"/>
  <c r="Q82" i="2" l="1"/>
  <c r="K152" i="2"/>
  <c r="K147" i="2"/>
  <c r="K157" i="2"/>
  <c r="K160" i="2"/>
  <c r="K151" i="2"/>
  <c r="K159" i="2"/>
  <c r="K154" i="2"/>
  <c r="K148" i="2"/>
  <c r="K153" i="2"/>
  <c r="K158" i="2"/>
  <c r="K150" i="2"/>
  <c r="K156" i="2"/>
  <c r="Q67" i="2"/>
  <c r="Q66" i="2"/>
  <c r="Q58" i="2"/>
  <c r="Q59" i="2"/>
  <c r="Q60" i="2"/>
  <c r="Q61" i="2"/>
  <c r="Q62" i="2"/>
  <c r="Q63" i="2"/>
  <c r="Q57" i="2"/>
  <c r="Q18" i="2"/>
  <c r="N53" i="2"/>
  <c r="N67" i="2"/>
  <c r="N58" i="2"/>
  <c r="N59" i="2"/>
  <c r="N60" i="2"/>
  <c r="N61" i="2"/>
  <c r="N62" i="2"/>
  <c r="N63" i="2"/>
  <c r="N64" i="2"/>
  <c r="N57" i="2"/>
  <c r="K54" i="2"/>
  <c r="K55" i="2"/>
  <c r="K53" i="2"/>
  <c r="K52" i="2"/>
  <c r="K48" i="2"/>
  <c r="K49" i="2"/>
  <c r="K50" i="2"/>
  <c r="K47" i="2"/>
  <c r="K39" i="2"/>
  <c r="K40" i="2"/>
  <c r="K41" i="2"/>
  <c r="K42" i="2"/>
  <c r="K43" i="2"/>
  <c r="K44" i="2"/>
  <c r="K45" i="2"/>
  <c r="K38" i="2"/>
  <c r="K37" i="2"/>
  <c r="K26" i="2"/>
  <c r="K24" i="2"/>
  <c r="K25" i="2"/>
  <c r="K23" i="2"/>
  <c r="K22" i="2"/>
  <c r="K21" i="2"/>
  <c r="K20" i="2"/>
  <c r="K19" i="2"/>
  <c r="K18" i="2"/>
  <c r="K17" i="2"/>
  <c r="K13" i="2"/>
  <c r="K14" i="2"/>
  <c r="K15" i="2"/>
  <c r="K11" i="2"/>
  <c r="K12" i="2"/>
  <c r="K9" i="2"/>
  <c r="K8" i="2"/>
  <c r="K60" i="2"/>
  <c r="K67" i="2"/>
  <c r="K10" i="2"/>
  <c r="G58" i="2"/>
  <c r="G59" i="2"/>
  <c r="G60" i="2"/>
  <c r="G61" i="2"/>
  <c r="G62" i="2"/>
  <c r="G63" i="2"/>
  <c r="G64" i="2"/>
  <c r="G57" i="2"/>
  <c r="G56" i="2"/>
  <c r="C67" i="2"/>
  <c r="G54" i="2"/>
  <c r="G55" i="2"/>
  <c r="G53" i="2"/>
  <c r="G52" i="2"/>
  <c r="G46" i="2"/>
  <c r="G48" i="2"/>
  <c r="G49" i="2"/>
  <c r="G50" i="2"/>
  <c r="G47" i="2"/>
  <c r="G39" i="2"/>
  <c r="G40" i="2"/>
  <c r="G41" i="2"/>
  <c r="G42" i="2"/>
  <c r="G43" i="2"/>
  <c r="G44" i="2"/>
  <c r="G45" i="2"/>
  <c r="G38" i="2"/>
  <c r="G37" i="2"/>
  <c r="G26" i="2"/>
  <c r="G24" i="2"/>
  <c r="G25" i="2"/>
  <c r="G23" i="2"/>
  <c r="G22" i="2"/>
  <c r="G21" i="2"/>
  <c r="G20" i="2"/>
  <c r="G19" i="2"/>
  <c r="G18" i="2"/>
  <c r="G17" i="2"/>
  <c r="G13" i="2"/>
  <c r="G14" i="2"/>
  <c r="G15" i="2"/>
  <c r="G12" i="2"/>
  <c r="G11" i="2"/>
  <c r="G10" i="2"/>
  <c r="G9" i="2"/>
  <c r="G8" i="2"/>
  <c r="C37" i="2"/>
  <c r="C39" i="2"/>
  <c r="C40" i="2"/>
  <c r="C41" i="2"/>
  <c r="C42" i="2"/>
  <c r="C43" i="2"/>
  <c r="C44" i="2"/>
  <c r="C45" i="2"/>
  <c r="C38" i="2"/>
  <c r="C26" i="2"/>
  <c r="C24" i="2"/>
  <c r="C25" i="2"/>
  <c r="C23" i="2"/>
  <c r="C22" i="2"/>
  <c r="C21" i="2"/>
  <c r="C20" i="2"/>
  <c r="C19" i="2"/>
  <c r="C18" i="2"/>
  <c r="C17" i="2"/>
  <c r="C13" i="2"/>
  <c r="C14" i="2"/>
  <c r="C15" i="2"/>
  <c r="C12" i="2"/>
  <c r="C11" i="2"/>
  <c r="C10" i="2"/>
  <c r="C9" i="2"/>
  <c r="C8" i="2"/>
  <c r="K145" i="2" l="1"/>
  <c r="Q65" i="2"/>
  <c r="C7" i="2"/>
  <c r="G7" i="2"/>
  <c r="K66" i="2"/>
  <c r="K65" i="2" s="1"/>
  <c r="K58" i="2"/>
  <c r="K57" i="2"/>
  <c r="K61" i="2"/>
  <c r="K63" i="2"/>
  <c r="K62" i="2"/>
  <c r="C66" i="2"/>
  <c r="C65" i="2" s="1"/>
  <c r="N66" i="2"/>
  <c r="N65" i="2" s="1"/>
  <c r="G66" i="2"/>
  <c r="K64" i="2"/>
  <c r="K59" i="2"/>
  <c r="G67" i="2"/>
  <c r="Q12" i="2"/>
  <c r="Q23" i="2"/>
  <c r="Q48" i="2"/>
  <c r="Q44" i="2"/>
  <c r="Q27" i="2"/>
  <c r="Q8" i="2"/>
  <c r="Q15" i="2"/>
  <c r="Q17" i="2"/>
  <c r="Q25" i="2"/>
  <c r="Q52" i="2"/>
  <c r="Q47" i="2"/>
  <c r="Q43" i="2"/>
  <c r="Q39" i="2"/>
  <c r="Q9" i="2"/>
  <c r="Q14" i="2"/>
  <c r="Q24" i="2"/>
  <c r="Q50" i="2"/>
  <c r="Q46" i="2"/>
  <c r="Q42" i="2"/>
  <c r="Q38" i="2"/>
  <c r="Q10" i="2"/>
  <c r="Q13" i="2"/>
  <c r="Q22" i="2"/>
  <c r="Q26" i="2"/>
  <c r="Q49" i="2"/>
  <c r="Q45" i="2"/>
  <c r="Q41" i="2"/>
  <c r="Q37" i="2"/>
  <c r="Q11" i="2"/>
  <c r="Q53" i="2"/>
  <c r="Q40" i="2"/>
  <c r="N9" i="2"/>
  <c r="N15" i="2"/>
  <c r="N18" i="2"/>
  <c r="N25" i="2"/>
  <c r="N38" i="2"/>
  <c r="N42" i="2"/>
  <c r="N47" i="2"/>
  <c r="N48" i="2"/>
  <c r="N54" i="2"/>
  <c r="N11" i="2"/>
  <c r="N23" i="2"/>
  <c r="N43" i="2"/>
  <c r="N49" i="2"/>
  <c r="N10" i="2"/>
  <c r="N14" i="2"/>
  <c r="N19" i="2"/>
  <c r="N24" i="2"/>
  <c r="N45" i="2"/>
  <c r="N41" i="2"/>
  <c r="N46" i="2"/>
  <c r="N52" i="2"/>
  <c r="N8" i="2"/>
  <c r="N17" i="2"/>
  <c r="N26" i="2"/>
  <c r="N37" i="2"/>
  <c r="N39" i="2"/>
  <c r="N55" i="2"/>
  <c r="N12" i="2"/>
  <c r="N13" i="2"/>
  <c r="N22" i="2"/>
  <c r="N44" i="2"/>
  <c r="N40" i="2"/>
  <c r="N50" i="2"/>
  <c r="K7" i="2"/>
  <c r="G65" i="2" l="1"/>
  <c r="N7" i="2"/>
  <c r="K56" i="2"/>
  <c r="Q7" i="2"/>
  <c r="H269" i="1" l="1"/>
  <c r="E269" i="1"/>
  <c r="B269" i="1"/>
  <c r="C271" i="1" s="1"/>
  <c r="H262" i="1"/>
  <c r="I263" i="1" s="1"/>
  <c r="E262" i="1"/>
  <c r="F266" i="1" s="1"/>
  <c r="B262" i="1"/>
  <c r="C265" i="1" s="1"/>
  <c r="H258" i="1"/>
  <c r="E258" i="1"/>
  <c r="B258" i="1"/>
  <c r="H253" i="1"/>
  <c r="E253" i="1"/>
  <c r="B253" i="1"/>
  <c r="H241" i="1"/>
  <c r="E241" i="1"/>
  <c r="B241" i="1"/>
  <c r="H236" i="1"/>
  <c r="E236" i="1"/>
  <c r="B236" i="1"/>
  <c r="H234" i="1"/>
  <c r="F234" i="1"/>
  <c r="E234" i="1"/>
  <c r="B234" i="1"/>
  <c r="H228" i="1"/>
  <c r="E228" i="1"/>
  <c r="B228" i="1"/>
  <c r="H223" i="1"/>
  <c r="E223" i="1"/>
  <c r="B223" i="1"/>
  <c r="G222" i="1"/>
  <c r="G221" i="1" s="1"/>
  <c r="B222" i="1" l="1"/>
  <c r="C255" i="1" s="1"/>
  <c r="E222" i="1"/>
  <c r="F256" i="1" s="1"/>
  <c r="I266" i="1"/>
  <c r="C263" i="1"/>
  <c r="C264" i="1"/>
  <c r="H222" i="1"/>
  <c r="I249" i="1" s="1"/>
  <c r="I265" i="1"/>
  <c r="F265" i="1"/>
  <c r="F264" i="1"/>
  <c r="C267" i="1"/>
  <c r="F271" i="1"/>
  <c r="F263" i="1"/>
  <c r="I264" i="1"/>
  <c r="C266" i="1"/>
  <c r="I267" i="1"/>
  <c r="F267" i="1" s="1"/>
  <c r="F270" i="1"/>
  <c r="C270" i="1" s="1"/>
  <c r="I271" i="1"/>
  <c r="I270" i="1"/>
  <c r="K206" i="1"/>
  <c r="H206" i="1"/>
  <c r="E206" i="1"/>
  <c r="D206" i="1"/>
  <c r="B206" i="1"/>
  <c r="K199" i="1"/>
  <c r="L204" i="1" s="1"/>
  <c r="H199" i="1"/>
  <c r="I200" i="1" s="1"/>
  <c r="G199" i="1"/>
  <c r="E199" i="1"/>
  <c r="F200" i="1" s="1"/>
  <c r="D199" i="1"/>
  <c r="B199" i="1"/>
  <c r="C201" i="1" s="1"/>
  <c r="F254" i="1" l="1"/>
  <c r="I259" i="1"/>
  <c r="I237" i="1"/>
  <c r="F226" i="1"/>
  <c r="C247" i="1"/>
  <c r="C242" i="1"/>
  <c r="I238" i="1"/>
  <c r="C224" i="1"/>
  <c r="C225" i="1"/>
  <c r="C232" i="1"/>
  <c r="C254" i="1"/>
  <c r="C229" i="1"/>
  <c r="C237" i="1"/>
  <c r="C248" i="1"/>
  <c r="C244" i="1"/>
  <c r="C250" i="1"/>
  <c r="C226" i="1"/>
  <c r="C245" i="1"/>
  <c r="C231" i="1"/>
  <c r="C235" i="1"/>
  <c r="C234" i="1" s="1"/>
  <c r="I244" i="1"/>
  <c r="I232" i="1"/>
  <c r="I250" i="1"/>
  <c r="I229" i="1"/>
  <c r="H221" i="1"/>
  <c r="I255" i="1"/>
  <c r="I230" i="1"/>
  <c r="I234" i="1"/>
  <c r="F238" i="1"/>
  <c r="I254" i="1"/>
  <c r="I247" i="1"/>
  <c r="I240" i="1"/>
  <c r="I225" i="1"/>
  <c r="I257" i="1"/>
  <c r="I245" i="1"/>
  <c r="I226" i="1"/>
  <c r="I251" i="1"/>
  <c r="I248" i="1"/>
  <c r="F224" i="1"/>
  <c r="F240" i="1"/>
  <c r="F259" i="1"/>
  <c r="F242" i="1"/>
  <c r="C256" i="1"/>
  <c r="C253" i="1" s="1"/>
  <c r="C238" i="1"/>
  <c r="F257" i="1"/>
  <c r="F250" i="1"/>
  <c r="C240" i="1"/>
  <c r="F237" i="1"/>
  <c r="B221" i="1"/>
  <c r="C251" i="1"/>
  <c r="C230" i="1"/>
  <c r="F244" i="1"/>
  <c r="F232" i="1"/>
  <c r="F225" i="1"/>
  <c r="C249" i="1"/>
  <c r="F229" i="1"/>
  <c r="C259" i="1"/>
  <c r="C258" i="1" s="1"/>
  <c r="F247" i="1"/>
  <c r="I256" i="1"/>
  <c r="I242" i="1"/>
  <c r="E221" i="1"/>
  <c r="F248" i="1"/>
  <c r="F231" i="1"/>
  <c r="F223" i="1"/>
  <c r="F249" i="1"/>
  <c r="F258" i="1"/>
  <c r="F245" i="1"/>
  <c r="F228" i="1"/>
  <c r="F255" i="1"/>
  <c r="F251" i="1"/>
  <c r="F236" i="1"/>
  <c r="F230" i="1"/>
  <c r="F241" i="1"/>
  <c r="F253" i="1"/>
  <c r="C202" i="1"/>
  <c r="C204" i="1"/>
  <c r="C262" i="1"/>
  <c r="F203" i="1"/>
  <c r="I269" i="1"/>
  <c r="C200" i="1"/>
  <c r="F202" i="1"/>
  <c r="F204" i="1"/>
  <c r="I231" i="1"/>
  <c r="I224" i="1"/>
  <c r="I253" i="1"/>
  <c r="I258" i="1"/>
  <c r="L200" i="1"/>
  <c r="C203" i="1"/>
  <c r="F205" i="1"/>
  <c r="C205" i="1" s="1"/>
  <c r="I262" i="1"/>
  <c r="I241" i="1"/>
  <c r="I236" i="1"/>
  <c r="F269" i="1"/>
  <c r="I223" i="1"/>
  <c r="I228" i="1"/>
  <c r="G152" i="2"/>
  <c r="G148" i="2"/>
  <c r="C156" i="2"/>
  <c r="G150" i="2"/>
  <c r="G160" i="2"/>
  <c r="G153" i="2"/>
  <c r="G158" i="2"/>
  <c r="G159" i="2"/>
  <c r="G154" i="2"/>
  <c r="G157" i="2"/>
  <c r="G151" i="2"/>
  <c r="G156" i="2"/>
  <c r="C160" i="2"/>
  <c r="C159" i="2"/>
  <c r="C150" i="2"/>
  <c r="C145" i="2" s="1"/>
  <c r="I205" i="1"/>
  <c r="I208" i="1"/>
  <c r="I207" i="1"/>
  <c r="F262" i="1"/>
  <c r="I201" i="1"/>
  <c r="I202" i="1"/>
  <c r="I203" i="1"/>
  <c r="I204" i="1"/>
  <c r="L205" i="1"/>
  <c r="F207" i="1"/>
  <c r="F208" i="1"/>
  <c r="C208" i="1" s="1"/>
  <c r="F209" i="1"/>
  <c r="L208" i="1"/>
  <c r="L209" i="1"/>
  <c r="I209" i="1" s="1"/>
  <c r="L207" i="1"/>
  <c r="L201" i="1"/>
  <c r="L202" i="1"/>
  <c r="L203" i="1"/>
  <c r="C207" i="1"/>
  <c r="C209" i="1"/>
  <c r="C269" i="1"/>
  <c r="K195" i="1"/>
  <c r="H195" i="1"/>
  <c r="G195" i="1"/>
  <c r="E195" i="1"/>
  <c r="D195" i="1"/>
  <c r="B195" i="1"/>
  <c r="K191" i="1"/>
  <c r="H191" i="1"/>
  <c r="G191" i="1"/>
  <c r="E191" i="1"/>
  <c r="D191" i="1"/>
  <c r="B191" i="1"/>
  <c r="C223" i="1" l="1"/>
  <c r="C236" i="1"/>
  <c r="C241" i="1"/>
  <c r="C228" i="1"/>
  <c r="F222" i="1"/>
  <c r="G145" i="2"/>
  <c r="I222" i="1"/>
  <c r="C206" i="1"/>
  <c r="I206" i="1"/>
  <c r="C199" i="1"/>
  <c r="L206" i="1"/>
  <c r="F201" i="1"/>
  <c r="F199" i="1" s="1"/>
  <c r="I199" i="1"/>
  <c r="L199" i="1"/>
  <c r="F206" i="1"/>
  <c r="K179" i="1"/>
  <c r="H179" i="1"/>
  <c r="G179" i="1"/>
  <c r="E179" i="1"/>
  <c r="D179" i="1"/>
  <c r="B179" i="1"/>
  <c r="D177" i="1"/>
  <c r="K173" i="1"/>
  <c r="H173" i="1"/>
  <c r="G173" i="1"/>
  <c r="E173" i="1"/>
  <c r="B173" i="1"/>
  <c r="K171" i="1"/>
  <c r="J171" i="1"/>
  <c r="H171" i="1"/>
  <c r="G171" i="1"/>
  <c r="E171" i="1"/>
  <c r="D171" i="1"/>
  <c r="B171" i="1"/>
  <c r="C222" i="1" l="1"/>
  <c r="K165" i="1"/>
  <c r="H165" i="1"/>
  <c r="G165" i="1"/>
  <c r="E165" i="1"/>
  <c r="D165" i="1"/>
  <c r="D159" i="1" s="1"/>
  <c r="B165" i="1"/>
  <c r="K160" i="1"/>
  <c r="H160" i="1"/>
  <c r="G160" i="1"/>
  <c r="E160" i="1"/>
  <c r="B160" i="1"/>
  <c r="E146" i="1"/>
  <c r="B146" i="1"/>
  <c r="E145" i="1"/>
  <c r="B145" i="1"/>
  <c r="H144" i="1"/>
  <c r="I146" i="1" s="1"/>
  <c r="E144" i="1"/>
  <c r="B144" i="1"/>
  <c r="E141" i="1"/>
  <c r="B141" i="1"/>
  <c r="E140" i="1"/>
  <c r="B140" i="1"/>
  <c r="E139" i="1"/>
  <c r="B139" i="1"/>
  <c r="E138" i="1"/>
  <c r="B138" i="1"/>
  <c r="E137" i="1"/>
  <c r="B137" i="1"/>
  <c r="E136" i="1"/>
  <c r="B136" i="1"/>
  <c r="E135" i="1"/>
  <c r="B135" i="1"/>
  <c r="H134" i="1"/>
  <c r="I139" i="1" s="1"/>
  <c r="E134" i="1"/>
  <c r="B134" i="1"/>
  <c r="B130" i="1"/>
  <c r="E128" i="1"/>
  <c r="B128" i="1"/>
  <c r="H127" i="1"/>
  <c r="E127" i="1"/>
  <c r="B127" i="1"/>
  <c r="E124" i="1"/>
  <c r="B124" i="1"/>
  <c r="E123" i="1"/>
  <c r="B123" i="1"/>
  <c r="E122" i="1"/>
  <c r="B122" i="1"/>
  <c r="E121" i="1"/>
  <c r="B121" i="1"/>
  <c r="H120" i="1"/>
  <c r="F120" i="1"/>
  <c r="C120" i="1"/>
  <c r="E119" i="1"/>
  <c r="B119" i="1"/>
  <c r="E117" i="1"/>
  <c r="B117" i="1"/>
  <c r="E116" i="1"/>
  <c r="B116" i="1"/>
  <c r="E115" i="1"/>
  <c r="B115" i="1"/>
  <c r="E113" i="1"/>
  <c r="B113" i="1"/>
  <c r="E112" i="1"/>
  <c r="B112" i="1"/>
  <c r="E111" i="1"/>
  <c r="B111" i="1"/>
  <c r="E110" i="1"/>
  <c r="B110" i="1"/>
  <c r="H109" i="1"/>
  <c r="E109" i="1"/>
  <c r="B109" i="1"/>
  <c r="E106" i="1"/>
  <c r="B106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F99" i="1"/>
  <c r="C99" i="1"/>
  <c r="A99" i="1"/>
  <c r="E98" i="1"/>
  <c r="B98" i="1"/>
  <c r="E97" i="1"/>
  <c r="B97" i="1"/>
  <c r="E96" i="1"/>
  <c r="B96" i="1"/>
  <c r="H95" i="1"/>
  <c r="E95" i="1"/>
  <c r="B95" i="1"/>
  <c r="E91" i="1"/>
  <c r="B91" i="1"/>
  <c r="H90" i="1"/>
  <c r="E90" i="1"/>
  <c r="B90" i="1"/>
  <c r="E88" i="1"/>
  <c r="B88" i="1"/>
  <c r="E87" i="1"/>
  <c r="B87" i="1"/>
  <c r="E86" i="1"/>
  <c r="B86" i="1"/>
  <c r="E85" i="1"/>
  <c r="B85" i="1"/>
  <c r="H84" i="1"/>
  <c r="E84" i="1"/>
  <c r="B84" i="1"/>
  <c r="E82" i="1"/>
  <c r="B82" i="1"/>
  <c r="E81" i="1"/>
  <c r="B81" i="1"/>
  <c r="H80" i="1"/>
  <c r="E80" i="1"/>
  <c r="B80" i="1"/>
  <c r="K159" i="1" l="1"/>
  <c r="L189" i="1" s="1"/>
  <c r="B99" i="1"/>
  <c r="E159" i="1"/>
  <c r="E158" i="1" s="1"/>
  <c r="B120" i="1"/>
  <c r="I138" i="1"/>
  <c r="E99" i="1"/>
  <c r="I135" i="1"/>
  <c r="I140" i="1"/>
  <c r="B159" i="1"/>
  <c r="B158" i="1" s="1"/>
  <c r="D158" i="1"/>
  <c r="I145" i="1"/>
  <c r="I147" i="1"/>
  <c r="L166" i="1"/>
  <c r="E120" i="1"/>
  <c r="I143" i="1"/>
  <c r="F198" i="1"/>
  <c r="I136" i="1"/>
  <c r="L173" i="1"/>
  <c r="E79" i="1"/>
  <c r="B79" i="1"/>
  <c r="E78" i="1"/>
  <c r="B78" i="1"/>
  <c r="H67" i="1"/>
  <c r="E67" i="1"/>
  <c r="B67" i="1"/>
  <c r="H66" i="1"/>
  <c r="E66" i="1"/>
  <c r="B66" i="1"/>
  <c r="H65" i="1"/>
  <c r="E65" i="1"/>
  <c r="B65" i="1"/>
  <c r="H63" i="1"/>
  <c r="E63" i="1"/>
  <c r="H62" i="1"/>
  <c r="E62" i="1"/>
  <c r="B62" i="1"/>
  <c r="H61" i="1"/>
  <c r="E61" i="1"/>
  <c r="B61" i="1"/>
  <c r="H60" i="1"/>
  <c r="E60" i="1"/>
  <c r="B60" i="1"/>
  <c r="H59" i="1"/>
  <c r="E59" i="1"/>
  <c r="B59" i="1"/>
  <c r="H58" i="1"/>
  <c r="E58" i="1"/>
  <c r="B58" i="1"/>
  <c r="H57" i="1"/>
  <c r="E57" i="1"/>
  <c r="B57" i="1"/>
  <c r="H56" i="1"/>
  <c r="E56" i="1"/>
  <c r="B56" i="1"/>
  <c r="H55" i="1"/>
  <c r="E55" i="1"/>
  <c r="B55" i="1"/>
  <c r="H53" i="1"/>
  <c r="E53" i="1"/>
  <c r="B53" i="1"/>
  <c r="H52" i="1"/>
  <c r="E52" i="1"/>
  <c r="B52" i="1"/>
  <c r="H50" i="1"/>
  <c r="E50" i="1"/>
  <c r="B50" i="1"/>
  <c r="H49" i="1"/>
  <c r="E49" i="1"/>
  <c r="B49" i="1"/>
  <c r="H48" i="1"/>
  <c r="E48" i="1"/>
  <c r="B48" i="1"/>
  <c r="H47" i="1"/>
  <c r="E47" i="1"/>
  <c r="B47" i="1"/>
  <c r="I46" i="1"/>
  <c r="F46" i="1"/>
  <c r="C46" i="1"/>
  <c r="H45" i="1"/>
  <c r="E45" i="1"/>
  <c r="B45" i="1"/>
  <c r="H44" i="1"/>
  <c r="E44" i="1"/>
  <c r="B44" i="1"/>
  <c r="H43" i="1"/>
  <c r="E43" i="1"/>
  <c r="B43" i="1"/>
  <c r="H42" i="1"/>
  <c r="E42" i="1"/>
  <c r="B42" i="1"/>
  <c r="H41" i="1"/>
  <c r="E41" i="1"/>
  <c r="B41" i="1"/>
  <c r="H40" i="1"/>
  <c r="E40" i="1"/>
  <c r="B40" i="1"/>
  <c r="H39" i="1"/>
  <c r="E39" i="1"/>
  <c r="B39" i="1"/>
  <c r="H38" i="1"/>
  <c r="E38" i="1"/>
  <c r="B38" i="1"/>
  <c r="H37" i="1"/>
  <c r="E37" i="1"/>
  <c r="B37" i="1"/>
  <c r="H34" i="1"/>
  <c r="E34" i="1"/>
  <c r="B34" i="1"/>
  <c r="H33" i="1"/>
  <c r="E33" i="1"/>
  <c r="B33" i="1"/>
  <c r="H32" i="1"/>
  <c r="E32" i="1"/>
  <c r="B32" i="1"/>
  <c r="H31" i="1"/>
  <c r="E31" i="1"/>
  <c r="B31" i="1"/>
  <c r="H30" i="1"/>
  <c r="E30" i="1"/>
  <c r="B30" i="1"/>
  <c r="H29" i="1"/>
  <c r="E29" i="1"/>
  <c r="B29" i="1"/>
  <c r="H28" i="1"/>
  <c r="E28" i="1"/>
  <c r="B28" i="1"/>
  <c r="I27" i="1"/>
  <c r="F27" i="1"/>
  <c r="C27" i="1"/>
  <c r="H26" i="1"/>
  <c r="E26" i="1"/>
  <c r="B26" i="1"/>
  <c r="H25" i="1"/>
  <c r="E25" i="1"/>
  <c r="B25" i="1"/>
  <c r="H24" i="1"/>
  <c r="E24" i="1"/>
  <c r="B24" i="1"/>
  <c r="H23" i="1"/>
  <c r="E23" i="1"/>
  <c r="B23" i="1"/>
  <c r="H19" i="1"/>
  <c r="E19" i="1"/>
  <c r="B19" i="1"/>
  <c r="H18" i="1"/>
  <c r="E18" i="1"/>
  <c r="B18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E12" i="1"/>
  <c r="B12" i="1"/>
  <c r="H11" i="1"/>
  <c r="E11" i="1"/>
  <c r="B11" i="1"/>
  <c r="H10" i="1"/>
  <c r="E10" i="1"/>
  <c r="B10" i="1"/>
  <c r="H9" i="1"/>
  <c r="E9" i="1"/>
  <c r="B9" i="1"/>
  <c r="H8" i="1"/>
  <c r="E8" i="1"/>
  <c r="S7" i="1"/>
  <c r="H7" i="1"/>
  <c r="E7" i="1"/>
  <c r="F172" i="1" l="1"/>
  <c r="F171" i="1" s="1"/>
  <c r="F188" i="1"/>
  <c r="F162" i="1"/>
  <c r="F182" i="1"/>
  <c r="F176" i="1"/>
  <c r="F184" i="1"/>
  <c r="K158" i="1"/>
  <c r="L163" i="1"/>
  <c r="L175" i="1"/>
  <c r="L180" i="1"/>
  <c r="L188" i="1"/>
  <c r="L162" i="1"/>
  <c r="L167" i="1"/>
  <c r="L182" i="1"/>
  <c r="L192" i="1"/>
  <c r="L160" i="1"/>
  <c r="L172" i="1"/>
  <c r="L186" i="1"/>
  <c r="C196" i="1"/>
  <c r="L161" i="1"/>
  <c r="L169" i="1"/>
  <c r="L184" i="1"/>
  <c r="L194" i="1"/>
  <c r="C163" i="1"/>
  <c r="L174" i="1"/>
  <c r="L168" i="1"/>
  <c r="L177" i="1"/>
  <c r="L183" i="1"/>
  <c r="L187" i="1"/>
  <c r="L193" i="1"/>
  <c r="L176" i="1"/>
  <c r="L171" i="1"/>
  <c r="L181" i="1"/>
  <c r="L185" i="1"/>
  <c r="C175" i="1"/>
  <c r="F161" i="1"/>
  <c r="F167" i="1"/>
  <c r="F177" i="1"/>
  <c r="F189" i="1"/>
  <c r="F185" i="1"/>
  <c r="F180" i="1"/>
  <c r="C166" i="1"/>
  <c r="C172" i="1"/>
  <c r="C171" i="1" s="1"/>
  <c r="F163" i="1"/>
  <c r="F175" i="1"/>
  <c r="F169" i="1"/>
  <c r="F186" i="1"/>
  <c r="F194" i="1"/>
  <c r="F193" i="1"/>
  <c r="F197" i="1"/>
  <c r="F166" i="1"/>
  <c r="F174" i="1"/>
  <c r="F168" i="1"/>
  <c r="F183" i="1"/>
  <c r="F192" i="1"/>
  <c r="F187" i="1"/>
  <c r="F196" i="1"/>
  <c r="C185" i="1"/>
  <c r="C162" i="1"/>
  <c r="C168" i="1"/>
  <c r="C177" i="1"/>
  <c r="A177" i="1" s="1"/>
  <c r="A240" i="1" s="1"/>
  <c r="C182" i="1"/>
  <c r="C189" i="1"/>
  <c r="C167" i="1"/>
  <c r="C176" i="1"/>
  <c r="C180" i="1"/>
  <c r="C187" i="1"/>
  <c r="C198" i="1"/>
  <c r="C161" i="1"/>
  <c r="C174" i="1"/>
  <c r="C169" i="1"/>
  <c r="C183" i="1"/>
  <c r="C193" i="1"/>
  <c r="I144" i="1"/>
  <c r="C184" i="1"/>
  <c r="C186" i="1"/>
  <c r="C188" i="1"/>
  <c r="C192" i="1"/>
  <c r="C194" i="1"/>
  <c r="C197" i="1"/>
  <c r="B27" i="1"/>
  <c r="E46" i="1"/>
  <c r="H46" i="1"/>
  <c r="B46" i="1"/>
  <c r="C160" i="1"/>
  <c r="I134" i="1"/>
  <c r="H27" i="1"/>
  <c r="E27" i="1"/>
  <c r="L165" i="1"/>
  <c r="F160" i="1" l="1"/>
  <c r="F173" i="1"/>
  <c r="C195" i="1"/>
  <c r="C165" i="1"/>
  <c r="L191" i="1"/>
  <c r="L179" i="1"/>
  <c r="B8" i="1"/>
  <c r="B7" i="1" s="1"/>
  <c r="F195" i="1"/>
  <c r="F165" i="1"/>
  <c r="F191" i="1"/>
  <c r="C191" i="1"/>
  <c r="C173" i="1"/>
  <c r="C179" i="1"/>
  <c r="F179" i="1"/>
  <c r="H79" i="1"/>
  <c r="L195" i="1" s="1"/>
  <c r="H159" i="1"/>
  <c r="I161" i="1" s="1"/>
  <c r="G159" i="1"/>
  <c r="G158" i="1" s="1"/>
  <c r="L159" i="1" l="1"/>
  <c r="I121" i="1"/>
  <c r="C159" i="1"/>
  <c r="F159" i="1"/>
  <c r="I194" i="1"/>
  <c r="I128" i="1"/>
  <c r="I185" i="1"/>
  <c r="I132" i="1"/>
  <c r="I118" i="1"/>
  <c r="H158" i="1"/>
  <c r="I192" i="1"/>
  <c r="I177" i="1"/>
  <c r="L196" i="1"/>
  <c r="I110" i="1"/>
  <c r="I92" i="1"/>
  <c r="I109" i="1"/>
  <c r="I188" i="1"/>
  <c r="I174" i="1"/>
  <c r="I103" i="1"/>
  <c r="I98" i="1"/>
  <c r="I104" i="1"/>
  <c r="I198" i="1"/>
  <c r="I187" i="1"/>
  <c r="I168" i="1"/>
  <c r="I96" i="1"/>
  <c r="I124" i="1"/>
  <c r="I88" i="1"/>
  <c r="I116" i="1"/>
  <c r="I87" i="1"/>
  <c r="I99" i="1"/>
  <c r="I119" i="1"/>
  <c r="L197" i="1"/>
  <c r="I117" i="1"/>
  <c r="I133" i="1"/>
  <c r="I108" i="1"/>
  <c r="I113" i="1"/>
  <c r="I101" i="1"/>
  <c r="I81" i="1"/>
  <c r="I131" i="1"/>
  <c r="I102" i="1"/>
  <c r="I114" i="1"/>
  <c r="H78" i="1"/>
  <c r="I120" i="1"/>
  <c r="I90" i="1"/>
  <c r="I84" i="1"/>
  <c r="I126" i="1"/>
  <c r="I125" i="1"/>
  <c r="I107" i="1"/>
  <c r="I100" i="1"/>
  <c r="I85" i="1"/>
  <c r="I80" i="1"/>
  <c r="L198" i="1"/>
  <c r="I86" i="1"/>
  <c r="I112" i="1"/>
  <c r="I115" i="1"/>
  <c r="I105" i="1"/>
  <c r="I83" i="1"/>
  <c r="I97" i="1"/>
  <c r="I106" i="1"/>
  <c r="I82" i="1"/>
  <c r="I122" i="1"/>
  <c r="I127" i="1"/>
  <c r="I95" i="1"/>
  <c r="I182" i="1"/>
  <c r="I176" i="1"/>
  <c r="I172" i="1"/>
  <c r="I171" i="1" s="1"/>
  <c r="I163" i="1"/>
  <c r="I197" i="1"/>
  <c r="I196" i="1"/>
  <c r="I193" i="1"/>
  <c r="I189" i="1"/>
  <c r="I184" i="1"/>
  <c r="I186" i="1"/>
  <c r="I183" i="1"/>
  <c r="I180" i="1"/>
  <c r="I175" i="1"/>
  <c r="I169" i="1"/>
  <c r="I167" i="1"/>
  <c r="I162" i="1"/>
  <c r="I166" i="1"/>
  <c r="I173" i="1" l="1"/>
  <c r="I79" i="1"/>
  <c r="I191" i="1"/>
  <c r="I165" i="1"/>
  <c r="I160" i="1"/>
  <c r="I195" i="1"/>
  <c r="I179" i="1"/>
  <c r="I159" i="1" l="1"/>
  <c r="C276" i="5" l="1"/>
</calcChain>
</file>

<file path=xl/sharedStrings.xml><?xml version="1.0" encoding="utf-8"?>
<sst xmlns="http://schemas.openxmlformats.org/spreadsheetml/2006/main" count="1059" uniqueCount="161">
  <si>
    <t xml:space="preserve">1 de 4 </t>
  </si>
  <si>
    <t>Cuadro 1.6</t>
  </si>
  <si>
    <t>Valor de la Producción Agropecuaria 2002-2013. (A precios corrientes )</t>
  </si>
  <si>
    <t>PRODUCTOS</t>
  </si>
  <si>
    <t>Valor 
(millones de RD$)</t>
  </si>
  <si>
    <t>Participacion %
Producto/Subsector</t>
  </si>
  <si>
    <t>TOTAL AGROPECUARIO</t>
  </si>
  <si>
    <t>SUBSECTOR AGRÍCOLA</t>
  </si>
  <si>
    <t>CEREALES</t>
  </si>
  <si>
    <t>Arroz en Cascara</t>
  </si>
  <si>
    <t>Maiz en Grano</t>
  </si>
  <si>
    <t>CULTIVOS TRADICIONALES DE EXPORTACION</t>
  </si>
  <si>
    <t>Caña de Azúcar</t>
  </si>
  <si>
    <t>Tabaco en Rama</t>
  </si>
  <si>
    <t>Café Pergamino</t>
  </si>
  <si>
    <t>Cacao en Grano</t>
  </si>
  <si>
    <t>OLEAGINOSAS</t>
  </si>
  <si>
    <t>Maní en Cáscara</t>
  </si>
  <si>
    <t>Otras Oleaginosas</t>
  </si>
  <si>
    <t>TEXTILES</t>
  </si>
  <si>
    <t>Cabuya o Sisal</t>
  </si>
  <si>
    <t>LEGUMINOSAS</t>
  </si>
  <si>
    <t>Frijoles o Habichuelas</t>
  </si>
  <si>
    <t>Guandules</t>
  </si>
  <si>
    <t>Otras Leguminosas</t>
  </si>
  <si>
    <t>RAICES, BULBOS Y TUBERCULOS</t>
  </si>
  <si>
    <t>Papas</t>
  </si>
  <si>
    <t>Batatas</t>
  </si>
  <si>
    <t>Yuca</t>
  </si>
  <si>
    <t>Yautía</t>
  </si>
  <si>
    <t>Ñame</t>
  </si>
  <si>
    <t>Cebolla</t>
  </si>
  <si>
    <t>Ajo</t>
  </si>
  <si>
    <t>Otros  Tubérculos</t>
  </si>
  <si>
    <t>FRUTAS</t>
  </si>
  <si>
    <t xml:space="preserve">Guineos             </t>
  </si>
  <si>
    <t xml:space="preserve">Naranjas Dulces  </t>
  </si>
  <si>
    <t xml:space="preserve">Piñas                    </t>
  </si>
  <si>
    <t xml:space="preserve">Melones                  </t>
  </si>
  <si>
    <t xml:space="preserve">Coco                        </t>
  </si>
  <si>
    <t xml:space="preserve">Lechosa                  </t>
  </si>
  <si>
    <t xml:space="preserve">Aguacate                </t>
  </si>
  <si>
    <t xml:space="preserve">Otras Frutas </t>
  </si>
  <si>
    <t>HORTALIZAS</t>
  </si>
  <si>
    <t>Tomates</t>
  </si>
  <si>
    <t>Auyamas</t>
  </si>
  <si>
    <t>Ajíes o Pimientos</t>
  </si>
  <si>
    <t>Otras Hortalizas</t>
  </si>
  <si>
    <t>VARIOS</t>
  </si>
  <si>
    <t xml:space="preserve">Plátanos                  </t>
  </si>
  <si>
    <t xml:space="preserve">Achiote o Bija </t>
  </si>
  <si>
    <t>Frutos de Palma</t>
  </si>
  <si>
    <t>SUBSECTOR PECUARIO</t>
  </si>
  <si>
    <r>
      <t xml:space="preserve">Ganado Vacuno Vivo 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          </t>
    </r>
  </si>
  <si>
    <r>
      <t xml:space="preserve">Ganado Porcino Vivo  </t>
    </r>
    <r>
      <rPr>
        <sz val="8"/>
        <rFont val="Arial Narrow"/>
        <family val="2"/>
      </rPr>
      <t xml:space="preserve">         </t>
    </r>
  </si>
  <si>
    <t xml:space="preserve">Ganado Caprino Vivo  </t>
  </si>
  <si>
    <t xml:space="preserve">Pollos Vivos            </t>
  </si>
  <si>
    <t xml:space="preserve">Leche Fresca           </t>
  </si>
  <si>
    <t xml:space="preserve">Huevos de Consumo </t>
  </si>
  <si>
    <t xml:space="preserve">Miel de abejas                      </t>
  </si>
  <si>
    <t xml:space="preserve">Cera de abejas            </t>
  </si>
  <si>
    <t>SUBSECTOR DE SILVICULTURA Y PESCA</t>
  </si>
  <si>
    <t>Leña Industrial y Familiar</t>
  </si>
  <si>
    <t>Pesca</t>
  </si>
  <si>
    <t>2 de 4</t>
  </si>
  <si>
    <t>Otros Cereales</t>
  </si>
  <si>
    <t>N.D.</t>
  </si>
  <si>
    <t>Mango</t>
  </si>
  <si>
    <t>Frutas Citicas</t>
  </si>
  <si>
    <t>Vegetales de tallo o de hojas</t>
  </si>
  <si>
    <t>Otros Productos Agricolas</t>
  </si>
  <si>
    <t>Servicios de fabricación, agropecuarios y apoyo a la minería.</t>
  </si>
  <si>
    <t>n/d</t>
  </si>
  <si>
    <t>Otros Animales y Productos de Ganaderia</t>
  </si>
  <si>
    <t>Productos de la silvicultura</t>
  </si>
  <si>
    <t>Servicios de fabricación, silvicultura, pesca y apoyo a la minería</t>
  </si>
  <si>
    <t xml:space="preserve">3 de 4 </t>
  </si>
  <si>
    <t>2010*</t>
  </si>
  <si>
    <t>Servicios de fabricación, agropecuarios  y apoyo a la minería.</t>
  </si>
  <si>
    <t>Otros animales y productos de la ganaderia</t>
  </si>
  <si>
    <t xml:space="preserve">Productos de la silvicultura  </t>
  </si>
  <si>
    <t>Servicios de fabricación,  silvicultura,  pesca y apoyo a la minería.</t>
  </si>
  <si>
    <t>4 de 4</t>
  </si>
  <si>
    <t>2011*</t>
  </si>
  <si>
    <t>2012*</t>
  </si>
  <si>
    <t>2013*</t>
  </si>
  <si>
    <t>Servicios de fabricación,  silvicultura, pesca y apoyo a la minería.</t>
  </si>
  <si>
    <r>
      <rPr>
        <b/>
        <u/>
        <sz val="8"/>
        <rFont val="Arial"/>
        <family val="2"/>
      </rPr>
      <t>Valor de la Producción a Precios Corriente</t>
    </r>
    <r>
      <rPr>
        <sz val="8"/>
        <rFont val="Arial"/>
        <family val="2"/>
      </rPr>
      <t>: es la suma de los valores brutos agregados por los diversos sectores, valorados a          precios del mercado o del período de estimación, incluyendo los impuestos indirectos netos de subsidios.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</si>
  <si>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Banco Central de la República Dominicana, Dpto. de Cuentas Nacionales y Estadísticas Económicas.</t>
    </r>
  </si>
  <si>
    <t xml:space="preserve">            Elaborado en el Ministerio de Agricultura, Depto. De Economía Agropecuaria.</t>
  </si>
  <si>
    <t>1 de 3</t>
  </si>
  <si>
    <t>Cuadro 1.5</t>
  </si>
  <si>
    <t>Valor Bruto de la Producción Agropecuaria 2002-2015,                                                                                                                                    en Millones de RD$. (A precios corrientes )</t>
  </si>
  <si>
    <t xml:space="preserve">Valor 
</t>
  </si>
  <si>
    <t>Partc. % Prod. / Subsector</t>
  </si>
  <si>
    <t>N/D</t>
  </si>
  <si>
    <t>Otros Tubérculos</t>
  </si>
  <si>
    <t>Productos de la pesca</t>
  </si>
  <si>
    <r>
      <rPr>
        <b/>
        <u/>
        <sz val="8"/>
        <rFont val="Arial"/>
        <family val="2"/>
      </rPr>
      <t>Nota</t>
    </r>
    <r>
      <rPr>
        <sz val="8"/>
        <rFont val="Arial"/>
        <family val="2"/>
      </rPr>
      <t xml:space="preserve">: A partir del 2007, el Banco Central utiliza como año de referencia el 2007 para el cálculo de  las Cuentas Nacionales, lo cual contiene   </t>
    </r>
  </si>
  <si>
    <t xml:space="preserve"> una mayor apertura de la producción agropecuaria.</t>
  </si>
  <si>
    <r>
      <rPr>
        <u/>
        <sz val="8"/>
        <color theme="1"/>
        <rFont val="Times New Roman"/>
        <family val="1"/>
      </rPr>
      <t>Valor de la Producción a Precios Corrientes</t>
    </r>
    <r>
      <rPr>
        <sz val="8"/>
        <color theme="1"/>
        <rFont val="Times New Roman"/>
        <family val="1"/>
      </rPr>
      <t>: Es el valor monetario de todos los bienes y servicios producidos</t>
    </r>
  </si>
  <si>
    <t xml:space="preserve"> por una economía durante un período de tiempo determinado, utilizando los precios de mercado de ese mismo período.</t>
  </si>
  <si>
    <t xml:space="preserve">           Elaborado en el Ministerio de Agricultura, Depto. de Economía Agropecuaria.</t>
  </si>
  <si>
    <t>2 de 3</t>
  </si>
  <si>
    <t>Part. %
Prod./Subsector</t>
  </si>
  <si>
    <t>Part. %
Prod./ Subsector</t>
  </si>
  <si>
    <t>Part.%
Prod./Subsector</t>
  </si>
  <si>
    <t xml:space="preserve">                                                                                                                                                                           Valor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</si>
  <si>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 
</t>
  </si>
  <si>
    <t>Tabaco  no manufacturado</t>
  </si>
  <si>
    <t>Café en grano</t>
  </si>
  <si>
    <t>Frutas citricas</t>
  </si>
  <si>
    <t>HORTALIZAS y VEGETALES</t>
  </si>
  <si>
    <t>Vegetales de tallo o de hoja</t>
  </si>
  <si>
    <t>Otras Hortalizas  y vegetales</t>
  </si>
  <si>
    <t>Leche cruda</t>
  </si>
  <si>
    <t>Servicios de fabricación, silvicultura, pesca y apoyo a la minería.</t>
  </si>
  <si>
    <t>3 de 3</t>
  </si>
  <si>
    <t>Valor Bruto de la Producción Agropecuaria, 2002-2015</t>
  </si>
  <si>
    <t>en Millones de RD$ (A precios corrientes)</t>
  </si>
  <si>
    <t>2014*</t>
  </si>
  <si>
    <t>2015*</t>
  </si>
  <si>
    <t xml:space="preserve">                                                                                                                                                                                   Valor 
</t>
  </si>
  <si>
    <t xml:space="preserve">Ganado Vacuno Vivo            </t>
  </si>
  <si>
    <t xml:space="preserve">Ganado Porcino Vivo           </t>
  </si>
  <si>
    <t>* Datos Preliminares</t>
  </si>
  <si>
    <r>
      <rPr>
        <b/>
        <u/>
        <sz val="8"/>
        <rFont val="Arial"/>
        <family val="2"/>
      </rPr>
      <t>Nota</t>
    </r>
    <r>
      <rPr>
        <sz val="8"/>
        <rFont val="Arial"/>
        <family val="2"/>
      </rPr>
      <t xml:space="preserve">: A partir del 2007, el Banco Central utiliza como año de referencia el 2007 para el cálculo de  </t>
    </r>
  </si>
  <si>
    <t>las Cuentas Nacionales, lo cual contiene  una mayor apertura de la producción agropecuaria.</t>
  </si>
  <si>
    <t xml:space="preserve">            Elaborado en el Ministerio de Agricultura, Depto. de Economía Agropecuaria.</t>
  </si>
  <si>
    <t>Valor Bruto de la Producción Agropecuaria a Precios Corrientes, 2002-2022 (En Millones de RD$. )</t>
  </si>
  <si>
    <t xml:space="preserve"> Pesca</t>
  </si>
  <si>
    <t>Tabaco  no manufacturado, o en Rama</t>
  </si>
  <si>
    <t>Mani en Cascara</t>
  </si>
  <si>
    <t xml:space="preserve">Papas </t>
  </si>
  <si>
    <t>Yautia</t>
  </si>
  <si>
    <t>Name</t>
  </si>
  <si>
    <t xml:space="preserve">Cebolla </t>
  </si>
  <si>
    <t>Otros Tuberculos</t>
  </si>
  <si>
    <r>
      <t xml:space="preserve">Guineos    </t>
    </r>
    <r>
      <rPr>
        <b/>
        <sz val="8"/>
        <rFont val="Arial Narrow"/>
        <family val="2"/>
      </rPr>
      <t/>
    </r>
  </si>
  <si>
    <t>Naranjas</t>
  </si>
  <si>
    <t xml:space="preserve">Achiote o Bija    </t>
  </si>
  <si>
    <t xml:space="preserve">n/d          </t>
  </si>
  <si>
    <t>Frutos de Plama</t>
  </si>
  <si>
    <t xml:space="preserve">Leña Industrial y Familiar </t>
  </si>
  <si>
    <r>
      <rPr>
        <b/>
        <sz val="8"/>
        <color theme="1"/>
        <rFont val="Times New Roman"/>
        <family val="1"/>
      </rPr>
      <t>Fuente:</t>
    </r>
    <r>
      <rPr>
        <sz val="8"/>
        <color theme="1"/>
        <rFont val="Times New Roman"/>
        <family val="1"/>
      </rPr>
      <t xml:space="preserve"> Banco Central de la República Dominicana, Dpto. de Cuentas Nacionales y Estadísticas Económicas.  </t>
    </r>
    <r>
      <rPr>
        <b/>
        <sz val="8"/>
        <color theme="1"/>
        <rFont val="Times New Roman"/>
        <family val="1"/>
      </rPr>
      <t/>
    </r>
  </si>
  <si>
    <t>Elaborado en el Ministerio de Agricultura, Depto. de Economía Agropecuaria.</t>
  </si>
  <si>
    <t xml:space="preserve">  </t>
  </si>
  <si>
    <t>Otros Tuberculus</t>
  </si>
  <si>
    <t>Naranjas Dulces</t>
  </si>
  <si>
    <t>Auyama</t>
  </si>
  <si>
    <t>Ajies y Pimientos</t>
  </si>
  <si>
    <t xml:space="preserve">                                                   Cuadro 1.6</t>
  </si>
  <si>
    <t>2020*</t>
  </si>
  <si>
    <t>2021*</t>
  </si>
  <si>
    <t xml:space="preserve"> Maní en Cáscara</t>
  </si>
  <si>
    <t xml:space="preserve"> </t>
  </si>
  <si>
    <t>HORTALIZAS Y VEGETALES</t>
  </si>
  <si>
    <t xml:space="preserve">            Elaborado en el Ministerio de Agricultura, Depto. de Economía Agropecuaria y Estadísticas,2023.</t>
  </si>
  <si>
    <t>2023*</t>
  </si>
  <si>
    <t>Valor Bruto de la Producción Agropecuaria a Precios Corrientes, 2002-2023 (En Millones de RD$. )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</si>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</sst>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.0\ _€_-;\-* #,##0.0\ _€_-;_-* &quot;-&quot;?\ _€_-;_-@_-"/>
    <numFmt numFmtId="167" formatCode="_(* #,##0.0_);_(* \(#,##0.0\);_(* &quot;-&quot;??_);_(@_)"/>
    <numFmt numFmtId="168" formatCode="#,##0.0"/>
    <numFmt numFmtId="169" formatCode="#,##0.0_);\(#,##0.0\)"/>
    <numFmt numFmtId="170" formatCode="#,##0.000"/>
    <numFmt numFmtId="171" formatCode="_-* #,##0\ _€_-;\-* #,##0\ _€_-;_-* &quot;-&quot;??\ _€_-;_-@_-"/>
    <numFmt numFmtId="172" formatCode="_-* #,##0.0\ _€_-;\-* #,##0.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12"/>
      <name val="Arial Narrow"/>
      <family val="2"/>
    </font>
    <font>
      <sz val="9"/>
      <color theme="0"/>
      <name val="Arial Narrow"/>
      <family val="2"/>
    </font>
    <font>
      <b/>
      <sz val="8"/>
      <color theme="1"/>
      <name val="Calibri"/>
      <family val="2"/>
      <scheme val="minor"/>
    </font>
    <font>
      <b/>
      <u/>
      <sz val="8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u val="singleAccounting"/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6"/>
      <color theme="1"/>
      <name val="Arial Narrow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b/>
      <u/>
      <sz val="6"/>
      <name val="Arial Narrow"/>
      <family val="2"/>
    </font>
    <font>
      <sz val="6"/>
      <name val="Cambria"/>
      <family val="1"/>
      <scheme val="major"/>
    </font>
    <font>
      <sz val="6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Cambria"/>
      <family val="1"/>
      <scheme val="major"/>
    </font>
    <font>
      <sz val="8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</cellStyleXfs>
  <cellXfs count="40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3" borderId="0" xfId="0" applyFont="1" applyFill="1"/>
    <xf numFmtId="0" fontId="5" fillId="3" borderId="0" xfId="0" applyFont="1" applyFill="1" applyAlignment="1">
      <alignment horizontal="center" wrapText="1"/>
    </xf>
    <xf numFmtId="0" fontId="6" fillId="2" borderId="0" xfId="0" applyFont="1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0" fontId="6" fillId="0" borderId="0" xfId="0" applyFont="1"/>
    <xf numFmtId="0" fontId="8" fillId="2" borderId="0" xfId="0" applyFont="1" applyFill="1" applyAlignment="1">
      <alignment horizontal="center" vertical="center"/>
    </xf>
    <xf numFmtId="0" fontId="6" fillId="4" borderId="0" xfId="0" applyFont="1" applyFill="1"/>
    <xf numFmtId="0" fontId="10" fillId="5" borderId="0" xfId="0" applyFont="1" applyFill="1" applyAlignment="1">
      <alignment horizontal="left" vertical="center"/>
    </xf>
    <xf numFmtId="3" fontId="10" fillId="5" borderId="0" xfId="0" applyNumberFormat="1" applyFont="1" applyFill="1" applyAlignment="1">
      <alignment horizontal="right" vertical="center"/>
    </xf>
    <xf numFmtId="0" fontId="2" fillId="0" borderId="0" xfId="0" applyFont="1"/>
    <xf numFmtId="3" fontId="10" fillId="5" borderId="0" xfId="0" applyNumberFormat="1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3" fontId="10" fillId="2" borderId="0" xfId="1" applyNumberFormat="1" applyFont="1" applyFill="1" applyBorder="1" applyAlignment="1">
      <alignment horizontal="right"/>
    </xf>
    <xf numFmtId="0" fontId="11" fillId="2" borderId="0" xfId="0" applyFont="1" applyFill="1"/>
    <xf numFmtId="165" fontId="9" fillId="3" borderId="0" xfId="1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4" fontId="9" fillId="3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3" fontId="9" fillId="3" borderId="0" xfId="1" applyNumberFormat="1" applyFont="1" applyFill="1" applyBorder="1"/>
    <xf numFmtId="166" fontId="6" fillId="2" borderId="0" xfId="0" applyNumberFormat="1" applyFont="1" applyFill="1"/>
    <xf numFmtId="165" fontId="9" fillId="3" borderId="0" xfId="1" applyNumberFormat="1" applyFont="1" applyFill="1" applyBorder="1"/>
    <xf numFmtId="0" fontId="11" fillId="3" borderId="0" xfId="0" applyFont="1" applyFill="1"/>
    <xf numFmtId="165" fontId="11" fillId="3" borderId="0" xfId="1" applyNumberFormat="1" applyFont="1" applyFill="1" applyBorder="1"/>
    <xf numFmtId="4" fontId="11" fillId="3" borderId="0" xfId="1" applyNumberFormat="1" applyFont="1" applyFill="1" applyBorder="1" applyAlignment="1">
      <alignment horizontal="center"/>
    </xf>
    <xf numFmtId="3" fontId="11" fillId="3" borderId="0" xfId="1" applyNumberFormat="1" applyFont="1" applyFill="1" applyBorder="1" applyAlignment="1">
      <alignment horizontal="right"/>
    </xf>
    <xf numFmtId="167" fontId="11" fillId="2" borderId="0" xfId="1" applyNumberFormat="1" applyFont="1" applyFill="1" applyBorder="1"/>
    <xf numFmtId="167" fontId="8" fillId="3" borderId="0" xfId="1" applyNumberFormat="1" applyFont="1" applyFill="1" applyBorder="1" applyAlignment="1">
      <alignment horizontal="center"/>
    </xf>
    <xf numFmtId="3" fontId="11" fillId="3" borderId="0" xfId="1" applyNumberFormat="1" applyFont="1" applyFill="1" applyBorder="1"/>
    <xf numFmtId="0" fontId="10" fillId="3" borderId="0" xfId="0" applyFont="1" applyFill="1" applyAlignment="1">
      <alignment horizontal="left" vertical="center" wrapText="1"/>
    </xf>
    <xf numFmtId="4" fontId="9" fillId="3" borderId="0" xfId="1" applyNumberFormat="1" applyFont="1" applyFill="1" applyBorder="1" applyAlignment="1">
      <alignment horizontal="center" vertical="center"/>
    </xf>
    <xf numFmtId="165" fontId="11" fillId="3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center"/>
    </xf>
    <xf numFmtId="43" fontId="11" fillId="3" borderId="0" xfId="1" applyNumberFormat="1" applyFont="1" applyFill="1" applyBorder="1"/>
    <xf numFmtId="167" fontId="12" fillId="3" borderId="0" xfId="1" applyNumberFormat="1" applyFont="1" applyFill="1" applyBorder="1" applyAlignment="1">
      <alignment horizontal="center"/>
    </xf>
    <xf numFmtId="168" fontId="2" fillId="2" borderId="0" xfId="0" applyNumberFormat="1" applyFont="1" applyFill="1"/>
    <xf numFmtId="165" fontId="9" fillId="3" borderId="0" xfId="0" applyNumberFormat="1" applyFont="1" applyFill="1"/>
    <xf numFmtId="165" fontId="11" fillId="3" borderId="0" xfId="0" applyNumberFormat="1" applyFont="1" applyFill="1" applyAlignment="1">
      <alignment horizontal="right"/>
    </xf>
    <xf numFmtId="0" fontId="2" fillId="3" borderId="0" xfId="0" applyFont="1" applyFill="1"/>
    <xf numFmtId="0" fontId="6" fillId="3" borderId="0" xfId="0" applyFont="1" applyFill="1"/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right"/>
    </xf>
    <xf numFmtId="167" fontId="12" fillId="2" borderId="0" xfId="1" applyNumberFormat="1" applyFont="1" applyFill="1" applyBorder="1" applyAlignment="1">
      <alignment horizontal="center"/>
    </xf>
    <xf numFmtId="3" fontId="2" fillId="3" borderId="0" xfId="0" applyNumberFormat="1" applyFont="1" applyFill="1"/>
    <xf numFmtId="3" fontId="11" fillId="3" borderId="0" xfId="0" applyNumberFormat="1" applyFont="1" applyFill="1"/>
    <xf numFmtId="0" fontId="12" fillId="2" borderId="0" xfId="0" applyFont="1" applyFill="1"/>
    <xf numFmtId="0" fontId="11" fillId="3" borderId="0" xfId="0" applyFont="1" applyFill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0" fontId="7" fillId="2" borderId="0" xfId="0" applyFont="1" applyFill="1" applyAlignment="1">
      <alignment horizontal="center" wrapText="1"/>
    </xf>
    <xf numFmtId="167" fontId="8" fillId="2" borderId="0" xfId="1" applyNumberFormat="1" applyFont="1" applyFill="1" applyBorder="1" applyAlignment="1">
      <alignment horizontal="center"/>
    </xf>
    <xf numFmtId="165" fontId="11" fillId="2" borderId="0" xfId="1" applyNumberFormat="1" applyFont="1" applyFill="1" applyBorder="1"/>
    <xf numFmtId="0" fontId="14" fillId="6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1" fillId="6" borderId="0" xfId="0" applyFont="1" applyFill="1"/>
    <xf numFmtId="165" fontId="11" fillId="6" borderId="0" xfId="0" applyNumberFormat="1" applyFont="1" applyFill="1" applyAlignment="1">
      <alignment horizontal="right"/>
    </xf>
    <xf numFmtId="167" fontId="11" fillId="6" borderId="0" xfId="1" applyNumberFormat="1" applyFont="1" applyFill="1" applyBorder="1" applyAlignment="1">
      <alignment horizontal="center"/>
    </xf>
    <xf numFmtId="165" fontId="11" fillId="6" borderId="0" xfId="1" applyNumberFormat="1" applyFont="1" applyFill="1" applyBorder="1"/>
    <xf numFmtId="167" fontId="11" fillId="6" borderId="0" xfId="1" applyNumberFormat="1" applyFont="1" applyFill="1" applyBorder="1"/>
    <xf numFmtId="0" fontId="17" fillId="2" borderId="0" xfId="0" applyFont="1" applyFill="1" applyAlignment="1">
      <alignment horizontal="right"/>
    </xf>
    <xf numFmtId="0" fontId="15" fillId="3" borderId="0" xfId="0" applyFont="1" applyFill="1"/>
    <xf numFmtId="0" fontId="15" fillId="3" borderId="0" xfId="0" applyFont="1" applyFill="1" applyAlignment="1">
      <alignment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2" fillId="0" borderId="0" xfId="0" applyFont="1" applyAlignment="1">
      <alignment vertical="justify" wrapText="1"/>
    </xf>
    <xf numFmtId="0" fontId="3" fillId="0" borderId="0" xfId="0" applyFont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165" fontId="11" fillId="2" borderId="0" xfId="0" applyNumberFormat="1" applyFont="1" applyFill="1" applyAlignment="1">
      <alignment horizontal="right"/>
    </xf>
    <xf numFmtId="165" fontId="9" fillId="2" borderId="0" xfId="1" applyNumberFormat="1" applyFont="1" applyFill="1" applyBorder="1"/>
    <xf numFmtId="0" fontId="11" fillId="3" borderId="0" xfId="0" applyFont="1" applyFill="1" applyAlignment="1">
      <alignment horizontal="right"/>
    </xf>
    <xf numFmtId="0" fontId="16" fillId="2" borderId="0" xfId="0" applyFont="1" applyFill="1"/>
    <xf numFmtId="167" fontId="9" fillId="2" borderId="0" xfId="1" applyNumberFormat="1" applyFont="1" applyFill="1" applyBorder="1" applyAlignment="1"/>
    <xf numFmtId="167" fontId="8" fillId="2" borderId="0" xfId="1" applyNumberFormat="1" applyFont="1" applyFill="1" applyBorder="1" applyAlignment="1"/>
    <xf numFmtId="0" fontId="6" fillId="2" borderId="0" xfId="0" applyFont="1" applyFill="1" applyAlignment="1">
      <alignment horizontal="center"/>
    </xf>
    <xf numFmtId="165" fontId="2" fillId="0" borderId="0" xfId="0" applyNumberFormat="1" applyFont="1"/>
    <xf numFmtId="165" fontId="2" fillId="2" borderId="0" xfId="0" applyNumberFormat="1" applyFont="1" applyFill="1"/>
    <xf numFmtId="165" fontId="2" fillId="0" borderId="0" xfId="0" applyNumberFormat="1" applyFont="1" applyAlignment="1">
      <alignment vertical="justify" wrapText="1"/>
    </xf>
    <xf numFmtId="165" fontId="11" fillId="3" borderId="0" xfId="0" applyNumberFormat="1" applyFont="1" applyFill="1" applyAlignment="1">
      <alignment horizontal="left" wrapText="1"/>
    </xf>
    <xf numFmtId="3" fontId="0" fillId="2" borderId="0" xfId="0" applyNumberFormat="1" applyFill="1"/>
    <xf numFmtId="3" fontId="11" fillId="3" borderId="0" xfId="0" applyNumberFormat="1" applyFont="1" applyFill="1" applyAlignment="1">
      <alignment horizontal="right"/>
    </xf>
    <xf numFmtId="3" fontId="6" fillId="2" borderId="0" xfId="0" applyNumberFormat="1" applyFont="1" applyFill="1"/>
    <xf numFmtId="4" fontId="2" fillId="2" borderId="0" xfId="0" applyNumberFormat="1" applyFont="1" applyFill="1"/>
    <xf numFmtId="3" fontId="10" fillId="5" borderId="0" xfId="0" applyNumberFormat="1" applyFont="1" applyFill="1" applyAlignment="1">
      <alignment horizontal="center" vertical="center"/>
    </xf>
    <xf numFmtId="3" fontId="9" fillId="2" borderId="0" xfId="1" applyNumberFormat="1" applyFont="1" applyFill="1" applyBorder="1" applyAlignment="1">
      <alignment horizontal="center"/>
    </xf>
    <xf numFmtId="43" fontId="9" fillId="3" borderId="0" xfId="1" applyNumberFormat="1" applyFont="1" applyFill="1" applyBorder="1"/>
    <xf numFmtId="3" fontId="11" fillId="2" borderId="0" xfId="1" applyNumberFormat="1" applyFont="1" applyFill="1" applyBorder="1"/>
    <xf numFmtId="1" fontId="11" fillId="2" borderId="0" xfId="0" applyNumberFormat="1" applyFont="1" applyFill="1"/>
    <xf numFmtId="4" fontId="11" fillId="3" borderId="0" xfId="1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11" fillId="2" borderId="0" xfId="1" applyNumberFormat="1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/>
    </xf>
    <xf numFmtId="3" fontId="9" fillId="3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right"/>
    </xf>
    <xf numFmtId="165" fontId="11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5" fontId="11" fillId="2" borderId="0" xfId="1" applyNumberFormat="1" applyFont="1" applyFill="1" applyBorder="1" applyAlignment="1">
      <alignment horizontal="center"/>
    </xf>
    <xf numFmtId="165" fontId="11" fillId="2" borderId="0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" fontId="11" fillId="3" borderId="0" xfId="1" applyNumberFormat="1" applyFont="1" applyFill="1" applyBorder="1" applyAlignment="1">
      <alignment horizontal="center" vertical="center"/>
    </xf>
    <xf numFmtId="165" fontId="11" fillId="3" borderId="0" xfId="0" applyNumberFormat="1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164" fontId="2" fillId="0" borderId="0" xfId="1" applyFont="1"/>
    <xf numFmtId="164" fontId="2" fillId="0" borderId="0" xfId="0" applyNumberFormat="1" applyFont="1"/>
    <xf numFmtId="164" fontId="6" fillId="0" borderId="0" xfId="1" applyFont="1"/>
    <xf numFmtId="164" fontId="6" fillId="2" borderId="0" xfId="0" applyNumberFormat="1" applyFont="1" applyFill="1"/>
    <xf numFmtId="168" fontId="9" fillId="2" borderId="0" xfId="1" applyNumberFormat="1" applyFont="1" applyFill="1" applyBorder="1" applyAlignment="1">
      <alignment horizontal="center"/>
    </xf>
    <xf numFmtId="168" fontId="9" fillId="2" borderId="0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right" vertical="center"/>
    </xf>
    <xf numFmtId="3" fontId="11" fillId="3" borderId="0" xfId="1" applyNumberFormat="1" applyFont="1" applyFill="1" applyBorder="1" applyAlignment="1">
      <alignment horizontal="right" vertical="center"/>
    </xf>
    <xf numFmtId="3" fontId="11" fillId="3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4" fontId="10" fillId="3" borderId="0" xfId="0" applyNumberFormat="1" applyFont="1" applyFill="1" applyAlignment="1">
      <alignment horizontal="left" vertical="center"/>
    </xf>
    <xf numFmtId="4" fontId="11" fillId="3" borderId="0" xfId="0" applyNumberFormat="1" applyFont="1" applyFill="1"/>
    <xf numFmtId="4" fontId="11" fillId="2" borderId="0" xfId="0" applyNumberFormat="1" applyFont="1" applyFill="1"/>
    <xf numFmtId="4" fontId="10" fillId="2" borderId="0" xfId="0" applyNumberFormat="1" applyFont="1" applyFill="1" applyAlignment="1">
      <alignment horizontal="left" vertical="center" wrapText="1"/>
    </xf>
    <xf numFmtId="3" fontId="10" fillId="2" borderId="0" xfId="0" applyNumberFormat="1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justify" wrapText="1"/>
    </xf>
    <xf numFmtId="0" fontId="11" fillId="2" borderId="0" xfId="0" applyFont="1" applyFill="1" applyAlignment="1">
      <alignment wrapText="1"/>
    </xf>
    <xf numFmtId="3" fontId="11" fillId="2" borderId="0" xfId="0" applyNumberFormat="1" applyFont="1" applyFill="1"/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165" fontId="11" fillId="3" borderId="0" xfId="1" applyNumberFormat="1" applyFont="1" applyFill="1" applyBorder="1" applyAlignment="1">
      <alignment horizontal="center"/>
    </xf>
    <xf numFmtId="3" fontId="9" fillId="3" borderId="0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/>
    </xf>
    <xf numFmtId="3" fontId="9" fillId="3" borderId="0" xfId="1" applyNumberFormat="1" applyFont="1" applyFill="1" applyBorder="1" applyAlignment="1">
      <alignment horizontal="center"/>
    </xf>
    <xf numFmtId="3" fontId="10" fillId="3" borderId="0" xfId="1" applyNumberFormat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right" vertical="center"/>
    </xf>
    <xf numFmtId="43" fontId="0" fillId="2" borderId="0" xfId="0" applyNumberFormat="1" applyFill="1"/>
    <xf numFmtId="4" fontId="9" fillId="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left" vertical="center"/>
    </xf>
    <xf numFmtId="169" fontId="2" fillId="2" borderId="0" xfId="0" applyNumberFormat="1" applyFont="1" applyFill="1" applyAlignment="1">
      <alignment horizontal="left"/>
    </xf>
    <xf numFmtId="169" fontId="20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vertical="justify" wrapText="1"/>
    </xf>
    <xf numFmtId="0" fontId="2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0" fillId="2" borderId="0" xfId="0" applyFill="1" applyAlignment="1">
      <alignment vertical="center"/>
    </xf>
    <xf numFmtId="3" fontId="11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3" fontId="10" fillId="2" borderId="0" xfId="1" applyNumberFormat="1" applyFont="1" applyFill="1" applyBorder="1" applyAlignment="1">
      <alignment horizontal="center" vertical="center"/>
    </xf>
    <xf numFmtId="43" fontId="0" fillId="2" borderId="0" xfId="0" applyNumberFormat="1" applyFill="1" applyAlignment="1">
      <alignment vertical="center"/>
    </xf>
    <xf numFmtId="165" fontId="9" fillId="2" borderId="0" xfId="1" applyNumberFormat="1" applyFont="1" applyFill="1" applyBorder="1" applyAlignment="1">
      <alignment vertical="center"/>
    </xf>
    <xf numFmtId="3" fontId="11" fillId="3" borderId="0" xfId="1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0" fillId="7" borderId="0" xfId="0" applyFill="1"/>
    <xf numFmtId="0" fontId="27" fillId="7" borderId="0" xfId="0" applyFont="1" applyFill="1" applyAlignment="1">
      <alignment horizontal="center" vertical="center" wrapText="1"/>
    </xf>
    <xf numFmtId="0" fontId="27" fillId="7" borderId="0" xfId="0" applyFont="1" applyFill="1" applyAlignment="1">
      <alignment horizontal="center" wrapText="1"/>
    </xf>
    <xf numFmtId="0" fontId="10" fillId="8" borderId="0" xfId="0" applyFont="1" applyFill="1" applyAlignment="1">
      <alignment horizontal="left"/>
    </xf>
    <xf numFmtId="165" fontId="9" fillId="8" borderId="0" xfId="1" applyNumberFormat="1" applyFont="1" applyFill="1" applyBorder="1" applyAlignment="1"/>
    <xf numFmtId="3" fontId="10" fillId="8" borderId="0" xfId="1" applyNumberFormat="1" applyFont="1" applyFill="1" applyBorder="1" applyAlignment="1">
      <alignment horizontal="center"/>
    </xf>
    <xf numFmtId="0" fontId="0" fillId="8" borderId="0" xfId="0" applyFill="1"/>
    <xf numFmtId="43" fontId="0" fillId="8" borderId="0" xfId="0" applyNumberFormat="1" applyFill="1"/>
    <xf numFmtId="0" fontId="11" fillId="7" borderId="0" xfId="0" applyFont="1" applyFill="1"/>
    <xf numFmtId="165" fontId="11" fillId="7" borderId="0" xfId="0" applyNumberFormat="1" applyFont="1" applyFill="1" applyAlignment="1">
      <alignment horizontal="right"/>
    </xf>
    <xf numFmtId="167" fontId="11" fillId="7" borderId="0" xfId="1" applyNumberFormat="1" applyFont="1" applyFill="1" applyBorder="1" applyAlignment="1">
      <alignment horizontal="center"/>
    </xf>
    <xf numFmtId="165" fontId="11" fillId="7" borderId="0" xfId="1" applyNumberFormat="1" applyFont="1" applyFill="1" applyBorder="1"/>
    <xf numFmtId="167" fontId="11" fillId="7" borderId="0" xfId="1" applyNumberFormat="1" applyFont="1" applyFill="1" applyBorder="1"/>
    <xf numFmtId="0" fontId="28" fillId="7" borderId="0" xfId="0" applyFont="1" applyFill="1"/>
    <xf numFmtId="0" fontId="28" fillId="7" borderId="0" xfId="0" applyFont="1" applyFill="1" applyAlignment="1">
      <alignment horizontal="center"/>
    </xf>
    <xf numFmtId="0" fontId="26" fillId="7" borderId="1" xfId="0" applyFont="1" applyFill="1" applyBorder="1" applyAlignment="1">
      <alignment horizontal="center" vertical="center"/>
    </xf>
    <xf numFmtId="167" fontId="11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24" fillId="2" borderId="0" xfId="0" applyFont="1" applyFill="1"/>
    <xf numFmtId="0" fontId="0" fillId="0" borderId="0" xfId="0" applyAlignment="1">
      <alignment horizontal="center"/>
    </xf>
    <xf numFmtId="0" fontId="9" fillId="2" borderId="0" xfId="0" applyFont="1" applyFill="1"/>
    <xf numFmtId="0" fontId="11" fillId="3" borderId="0" xfId="0" applyFont="1" applyFill="1" applyAlignment="1">
      <alignment horizontal="left" vertical="center"/>
    </xf>
    <xf numFmtId="0" fontId="29" fillId="0" borderId="0" xfId="0" applyFont="1"/>
    <xf numFmtId="4" fontId="11" fillId="3" borderId="0" xfId="0" applyNumberFormat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1" fillId="3" borderId="0" xfId="0" applyFont="1" applyFill="1" applyAlignment="1">
      <alignment horizontal="left" vertical="center" wrapText="1"/>
    </xf>
    <xf numFmtId="3" fontId="30" fillId="2" borderId="0" xfId="1" applyNumberFormat="1" applyFont="1" applyFill="1" applyBorder="1" applyAlignment="1">
      <alignment horizontal="center"/>
    </xf>
    <xf numFmtId="170" fontId="9" fillId="3" borderId="0" xfId="1" applyNumberFormat="1" applyFont="1" applyFill="1" applyBorder="1" applyAlignment="1">
      <alignment horizontal="center" vertical="center"/>
    </xf>
    <xf numFmtId="170" fontId="0" fillId="2" borderId="0" xfId="0" applyNumberFormat="1" applyFill="1"/>
    <xf numFmtId="0" fontId="27" fillId="2" borderId="0" xfId="0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wrapText="1"/>
    </xf>
    <xf numFmtId="0" fontId="9" fillId="3" borderId="0" xfId="0" applyFont="1" applyFill="1"/>
    <xf numFmtId="4" fontId="9" fillId="2" borderId="0" xfId="0" applyNumberFormat="1" applyFont="1" applyFill="1" applyAlignment="1">
      <alignment horizontal="left" wrapText="1"/>
    </xf>
    <xf numFmtId="3" fontId="10" fillId="3" borderId="0" xfId="1" applyNumberFormat="1" applyFont="1" applyFill="1" applyBorder="1" applyAlignment="1"/>
    <xf numFmtId="3" fontId="10" fillId="3" borderId="0" xfId="1" applyNumberFormat="1" applyFont="1" applyFill="1" applyBorder="1" applyAlignment="1">
      <alignment vertical="center"/>
    </xf>
    <xf numFmtId="165" fontId="11" fillId="7" borderId="0" xfId="1" applyNumberFormat="1" applyFont="1" applyFill="1" applyBorder="1" applyAlignment="1"/>
    <xf numFmtId="165" fontId="0" fillId="2" borderId="0" xfId="0" applyNumberFormat="1" applyFill="1"/>
    <xf numFmtId="165" fontId="27" fillId="7" borderId="0" xfId="0" applyNumberFormat="1" applyFont="1" applyFill="1" applyAlignment="1">
      <alignment horizontal="right" wrapText="1"/>
    </xf>
    <xf numFmtId="165" fontId="10" fillId="5" borderId="0" xfId="0" applyNumberFormat="1" applyFont="1" applyFill="1" applyAlignment="1">
      <alignment horizontal="right" vertical="center"/>
    </xf>
    <xf numFmtId="165" fontId="27" fillId="7" borderId="0" xfId="0" applyNumberFormat="1" applyFont="1" applyFill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right"/>
    </xf>
    <xf numFmtId="165" fontId="6" fillId="2" borderId="0" xfId="0" applyNumberFormat="1" applyFont="1" applyFill="1"/>
    <xf numFmtId="165" fontId="11" fillId="2" borderId="0" xfId="0" applyNumberFormat="1" applyFont="1" applyFill="1" applyAlignment="1">
      <alignment horizontal="left" wrapText="1"/>
    </xf>
    <xf numFmtId="165" fontId="11" fillId="2" borderId="0" xfId="0" applyNumberFormat="1" applyFont="1" applyFill="1"/>
    <xf numFmtId="165" fontId="20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vertical="justify" wrapText="1"/>
    </xf>
    <xf numFmtId="4" fontId="11" fillId="3" borderId="0" xfId="1" applyNumberFormat="1" applyFont="1" applyFill="1" applyBorder="1" applyAlignment="1"/>
    <xf numFmtId="3" fontId="11" fillId="3" borderId="0" xfId="1" applyNumberFormat="1" applyFont="1" applyFill="1" applyBorder="1" applyAlignme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1" fontId="25" fillId="2" borderId="0" xfId="1" applyNumberFormat="1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5" fontId="9" fillId="2" borderId="0" xfId="1" applyNumberFormat="1" applyFont="1" applyFill="1" applyBorder="1" applyAlignment="1"/>
    <xf numFmtId="165" fontId="9" fillId="2" borderId="0" xfId="0" applyNumberFormat="1" applyFont="1" applyFill="1"/>
    <xf numFmtId="3" fontId="10" fillId="2" borderId="0" xfId="1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center" vertical="center"/>
    </xf>
    <xf numFmtId="0" fontId="29" fillId="2" borderId="0" xfId="0" applyFont="1" applyFill="1"/>
    <xf numFmtId="0" fontId="31" fillId="2" borderId="0" xfId="0" applyFont="1" applyFill="1"/>
    <xf numFmtId="165" fontId="11" fillId="2" borderId="0" xfId="0" applyNumberFormat="1" applyFont="1" applyFill="1" applyAlignment="1">
      <alignment horizontal="left"/>
    </xf>
    <xf numFmtId="0" fontId="32" fillId="0" borderId="0" xfId="0" applyFont="1"/>
    <xf numFmtId="0" fontId="11" fillId="3" borderId="0" xfId="0" applyFont="1" applyFill="1" applyAlignment="1">
      <alignment vertical="center" wrapText="1"/>
    </xf>
    <xf numFmtId="3" fontId="11" fillId="3" borderId="0" xfId="0" applyNumberFormat="1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165" fontId="9" fillId="8" borderId="0" xfId="1" applyNumberFormat="1" applyFont="1" applyFill="1" applyBorder="1" applyAlignment="1">
      <alignment horizontal="right"/>
    </xf>
    <xf numFmtId="3" fontId="9" fillId="8" borderId="0" xfId="1" applyNumberFormat="1" applyFont="1" applyFill="1" applyBorder="1" applyAlignment="1">
      <alignment horizontal="center"/>
    </xf>
    <xf numFmtId="171" fontId="0" fillId="0" borderId="0" xfId="1" applyNumberFormat="1" applyFont="1"/>
    <xf numFmtId="0" fontId="10" fillId="3" borderId="0" xfId="0" applyFont="1" applyFill="1" applyAlignment="1">
      <alignment wrapText="1"/>
    </xf>
    <xf numFmtId="0" fontId="31" fillId="2" borderId="0" xfId="0" applyFont="1" applyFill="1" applyAlignment="1">
      <alignment vertical="center"/>
    </xf>
    <xf numFmtId="164" fontId="0" fillId="0" borderId="0" xfId="1" applyFont="1"/>
    <xf numFmtId="172" fontId="0" fillId="0" borderId="0" xfId="1" applyNumberFormat="1" applyFont="1"/>
    <xf numFmtId="168" fontId="11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165" fontId="11" fillId="2" borderId="0" xfId="1" applyNumberFormat="1" applyFont="1" applyFill="1" applyBorder="1" applyAlignment="1"/>
    <xf numFmtId="0" fontId="9" fillId="2" borderId="0" xfId="0" applyFont="1" applyFill="1" applyAlignment="1">
      <alignment horizontal="left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0" fillId="9" borderId="0" xfId="0" applyFill="1"/>
    <xf numFmtId="172" fontId="0" fillId="2" borderId="0" xfId="1" applyNumberFormat="1" applyFont="1" applyFill="1"/>
    <xf numFmtId="4" fontId="10" fillId="2" borderId="0" xfId="0" applyNumberFormat="1" applyFont="1" applyFill="1" applyAlignment="1">
      <alignment horizontal="left" vertical="center"/>
    </xf>
    <xf numFmtId="3" fontId="9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165" fontId="11" fillId="2" borderId="0" xfId="1" applyNumberFormat="1" applyFont="1" applyFill="1" applyBorder="1" applyAlignment="1">
      <alignment vertical="center"/>
    </xf>
    <xf numFmtId="3" fontId="10" fillId="2" borderId="0" xfId="0" applyNumberFormat="1" applyFont="1" applyFill="1" applyAlignment="1">
      <alignment horizontal="center" wrapText="1"/>
    </xf>
    <xf numFmtId="172" fontId="21" fillId="2" borderId="0" xfId="1" applyNumberFormat="1" applyFont="1" applyFill="1"/>
    <xf numFmtId="169" fontId="3" fillId="2" borderId="0" xfId="0" applyNumberFormat="1" applyFont="1" applyFill="1" applyAlignment="1">
      <alignment horizontal="left"/>
    </xf>
    <xf numFmtId="43" fontId="21" fillId="2" borderId="0" xfId="0" applyNumberFormat="1" applyFont="1" applyFill="1"/>
    <xf numFmtId="0" fontId="21" fillId="2" borderId="0" xfId="0" applyFont="1" applyFill="1" applyAlignment="1">
      <alignment vertical="center"/>
    </xf>
    <xf numFmtId="43" fontId="21" fillId="2" borderId="0" xfId="0" applyNumberFormat="1" applyFont="1" applyFill="1" applyAlignment="1">
      <alignment vertical="center"/>
    </xf>
    <xf numFmtId="165" fontId="21" fillId="2" borderId="0" xfId="0" applyNumberFormat="1" applyFont="1" applyFill="1"/>
    <xf numFmtId="0" fontId="21" fillId="0" borderId="0" xfId="0" applyFont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167" fontId="9" fillId="2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65" fontId="35" fillId="2" borderId="0" xfId="0" applyNumberFormat="1" applyFont="1" applyFill="1" applyAlignment="1">
      <alignment horizontal="right"/>
    </xf>
    <xf numFmtId="167" fontId="35" fillId="2" borderId="0" xfId="1" applyNumberFormat="1" applyFont="1" applyFill="1" applyBorder="1" applyAlignment="1">
      <alignment horizontal="center"/>
    </xf>
    <xf numFmtId="165" fontId="35" fillId="2" borderId="0" xfId="1" applyNumberFormat="1" applyFont="1" applyFill="1" applyBorder="1"/>
    <xf numFmtId="167" fontId="35" fillId="2" borderId="0" xfId="1" applyNumberFormat="1" applyFont="1" applyFill="1" applyBorder="1"/>
    <xf numFmtId="0" fontId="35" fillId="2" borderId="0" xfId="0" applyFont="1" applyFill="1"/>
    <xf numFmtId="0" fontId="37" fillId="2" borderId="0" xfId="0" applyFont="1" applyFill="1"/>
    <xf numFmtId="0" fontId="39" fillId="0" borderId="0" xfId="0" applyFont="1"/>
    <xf numFmtId="0" fontId="39" fillId="2" borderId="0" xfId="0" applyFont="1" applyFill="1"/>
    <xf numFmtId="4" fontId="35" fillId="2" borderId="0" xfId="1" applyNumberFormat="1" applyFont="1" applyFill="1" applyBorder="1" applyAlignment="1">
      <alignment horizontal="center"/>
    </xf>
    <xf numFmtId="165" fontId="40" fillId="2" borderId="0" xfId="1" applyNumberFormat="1" applyFont="1" applyFill="1" applyBorder="1" applyAlignment="1">
      <alignment horizontal="right"/>
    </xf>
    <xf numFmtId="169" fontId="41" fillId="2" borderId="0" xfId="0" applyNumberFormat="1" applyFont="1" applyFill="1" applyAlignment="1">
      <alignment horizontal="left"/>
    </xf>
    <xf numFmtId="165" fontId="38" fillId="2" borderId="0" xfId="0" applyNumberFormat="1" applyFont="1" applyFill="1" applyAlignment="1">
      <alignment vertical="justify" wrapText="1"/>
    </xf>
    <xf numFmtId="0" fontId="42" fillId="2" borderId="0" xfId="4" applyFont="1" applyFill="1"/>
    <xf numFmtId="0" fontId="38" fillId="2" borderId="0" xfId="0" applyFont="1" applyFill="1" applyAlignment="1">
      <alignment horizontal="left" vertical="justify" wrapText="1"/>
    </xf>
    <xf numFmtId="164" fontId="38" fillId="2" borderId="0" xfId="1" applyFont="1" applyFill="1" applyAlignment="1">
      <alignment horizontal="left" vertical="justify" wrapText="1"/>
    </xf>
    <xf numFmtId="0" fontId="35" fillId="2" borderId="0" xfId="0" applyFont="1" applyFill="1" applyAlignment="1">
      <alignment horizontal="left" wrapText="1"/>
    </xf>
    <xf numFmtId="0" fontId="38" fillId="2" borderId="0" xfId="0" applyFont="1" applyFill="1"/>
    <xf numFmtId="0" fontId="35" fillId="2" borderId="0" xfId="0" applyFont="1" applyFill="1" applyAlignment="1">
      <alignment horizontal="center" wrapText="1"/>
    </xf>
    <xf numFmtId="0" fontId="42" fillId="2" borderId="0" xfId="4" applyFont="1" applyFill="1" applyAlignment="1">
      <alignment horizontal="left"/>
    </xf>
    <xf numFmtId="164" fontId="39" fillId="2" borderId="0" xfId="1" applyFont="1" applyFill="1"/>
    <xf numFmtId="3" fontId="38" fillId="2" borderId="0" xfId="0" applyNumberFormat="1" applyFont="1" applyFill="1"/>
    <xf numFmtId="3" fontId="35" fillId="2" borderId="0" xfId="0" applyNumberFormat="1" applyFont="1" applyFill="1"/>
    <xf numFmtId="0" fontId="36" fillId="2" borderId="0" xfId="0" applyFont="1" applyFill="1" applyAlignment="1">
      <alignment horizontal="center" vertical="center"/>
    </xf>
    <xf numFmtId="4" fontId="36" fillId="2" borderId="0" xfId="1" applyNumberFormat="1" applyFont="1" applyFill="1" applyBorder="1" applyAlignment="1">
      <alignment horizontal="center"/>
    </xf>
    <xf numFmtId="165" fontId="39" fillId="2" borderId="0" xfId="0" applyNumberFormat="1" applyFont="1" applyFill="1"/>
    <xf numFmtId="0" fontId="35" fillId="3" borderId="0" xfId="0" applyFont="1" applyFill="1" applyAlignment="1">
      <alignment horizontal="left" wrapText="1"/>
    </xf>
    <xf numFmtId="0" fontId="10" fillId="10" borderId="0" xfId="0" applyFont="1" applyFill="1" applyAlignment="1">
      <alignment horizontal="left" vertical="center"/>
    </xf>
    <xf numFmtId="3" fontId="10" fillId="10" borderId="0" xfId="0" applyNumberFormat="1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left" vertical="center"/>
    </xf>
    <xf numFmtId="3" fontId="10" fillId="10" borderId="0" xfId="0" applyNumberFormat="1" applyFont="1" applyFill="1" applyAlignment="1">
      <alignment horizontal="right" vertical="center"/>
    </xf>
    <xf numFmtId="165" fontId="34" fillId="10" borderId="0" xfId="0" applyNumberFormat="1" applyFont="1" applyFill="1" applyAlignment="1">
      <alignment horizontal="right" vertical="center"/>
    </xf>
    <xf numFmtId="0" fontId="10" fillId="2" borderId="0" xfId="0" applyFont="1" applyFill="1"/>
    <xf numFmtId="0" fontId="10" fillId="2" borderId="0" xfId="0" applyFont="1" applyFill="1" applyAlignment="1">
      <alignment horizontal="left" vertical="top" wrapText="1"/>
    </xf>
    <xf numFmtId="4" fontId="10" fillId="10" borderId="0" xfId="0" applyNumberFormat="1" applyFont="1" applyFill="1" applyAlignment="1">
      <alignment horizontal="center" vertical="center"/>
    </xf>
    <xf numFmtId="0" fontId="44" fillId="2" borderId="0" xfId="0" applyFont="1" applyFill="1"/>
    <xf numFmtId="169" fontId="45" fillId="2" borderId="0" xfId="0" applyNumberFormat="1" applyFont="1" applyFill="1" applyAlignment="1">
      <alignment horizontal="left"/>
    </xf>
    <xf numFmtId="0" fontId="46" fillId="11" borderId="0" xfId="0" applyFont="1" applyFill="1"/>
    <xf numFmtId="0" fontId="14" fillId="11" borderId="0" xfId="0" applyFont="1" applyFill="1" applyAlignment="1">
      <alignment horizontal="center" wrapText="1"/>
    </xf>
    <xf numFmtId="0" fontId="14" fillId="11" borderId="0" xfId="0" applyFont="1" applyFill="1" applyAlignment="1">
      <alignment horizontal="center" vertical="center" wrapText="1"/>
    </xf>
    <xf numFmtId="165" fontId="14" fillId="11" borderId="0" xfId="0" applyNumberFormat="1" applyFont="1" applyFill="1" applyAlignment="1">
      <alignment horizontal="right" wrapText="1"/>
    </xf>
    <xf numFmtId="0" fontId="11" fillId="12" borderId="0" xfId="0" applyFont="1" applyFill="1"/>
    <xf numFmtId="165" fontId="11" fillId="12" borderId="0" xfId="0" applyNumberFormat="1" applyFont="1" applyFill="1" applyAlignment="1">
      <alignment horizontal="right"/>
    </xf>
    <xf numFmtId="167" fontId="11" fillId="12" borderId="0" xfId="1" applyNumberFormat="1" applyFont="1" applyFill="1" applyBorder="1" applyAlignment="1">
      <alignment horizontal="center"/>
    </xf>
    <xf numFmtId="165" fontId="11" fillId="12" borderId="0" xfId="1" applyNumberFormat="1" applyFont="1" applyFill="1" applyBorder="1"/>
    <xf numFmtId="167" fontId="11" fillId="12" borderId="0" xfId="1" applyNumberFormat="1" applyFont="1" applyFill="1" applyBorder="1"/>
    <xf numFmtId="165" fontId="11" fillId="12" borderId="0" xfId="1" applyNumberFormat="1" applyFont="1" applyFill="1" applyBorder="1" applyAlignment="1"/>
    <xf numFmtId="0" fontId="2" fillId="12" borderId="0" xfId="0" applyFont="1" applyFill="1"/>
    <xf numFmtId="164" fontId="0" fillId="2" borderId="0" xfId="1" applyFont="1" applyFill="1"/>
    <xf numFmtId="164" fontId="0" fillId="2" borderId="0" xfId="0" applyNumberFormat="1" applyFill="1"/>
    <xf numFmtId="165" fontId="47" fillId="0" borderId="0" xfId="1" applyNumberFormat="1" applyFont="1" applyFill="1" applyBorder="1" applyAlignment="1" applyProtection="1">
      <alignment horizontal="center"/>
    </xf>
    <xf numFmtId="165" fontId="48" fillId="0" borderId="0" xfId="1" applyNumberFormat="1" applyFont="1" applyFill="1" applyBorder="1" applyAlignment="1">
      <alignment horizontal="center"/>
    </xf>
    <xf numFmtId="165" fontId="49" fillId="2" borderId="0" xfId="2" applyNumberFormat="1" applyFont="1" applyFill="1" applyBorder="1"/>
    <xf numFmtId="0" fontId="0" fillId="12" borderId="0" xfId="0" applyFill="1"/>
    <xf numFmtId="2" fontId="27" fillId="2" borderId="0" xfId="1" applyNumberFormat="1" applyFont="1" applyFill="1" applyAlignment="1">
      <alignment horizontal="right"/>
    </xf>
    <xf numFmtId="2" fontId="27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43" fontId="27" fillId="2" borderId="0" xfId="0" applyNumberFormat="1" applyFont="1" applyFill="1" applyAlignment="1">
      <alignment horizontal="right"/>
    </xf>
    <xf numFmtId="43" fontId="23" fillId="2" borderId="0" xfId="0" applyNumberFormat="1" applyFont="1" applyFill="1" applyAlignment="1">
      <alignment horizontal="right"/>
    </xf>
    <xf numFmtId="164" fontId="23" fillId="2" borderId="0" xfId="1" applyFont="1" applyFill="1" applyAlignment="1">
      <alignment horizontal="right"/>
    </xf>
    <xf numFmtId="2" fontId="23" fillId="2" borderId="0" xfId="0" applyNumberFormat="1" applyFont="1" applyFill="1" applyAlignment="1">
      <alignment horizontal="right"/>
    </xf>
    <xf numFmtId="4" fontId="9" fillId="2" borderId="0" xfId="1" applyNumberFormat="1" applyFont="1" applyFill="1" applyBorder="1" applyAlignment="1">
      <alignment horizontal="right"/>
    </xf>
    <xf numFmtId="0" fontId="2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 vertical="center"/>
    </xf>
    <xf numFmtId="4" fontId="11" fillId="2" borderId="0" xfId="1" applyNumberFormat="1" applyFont="1" applyFill="1" applyBorder="1" applyAlignment="1">
      <alignment horizontal="right"/>
    </xf>
    <xf numFmtId="164" fontId="27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2" fontId="23" fillId="2" borderId="0" xfId="1" applyNumberFormat="1" applyFont="1" applyFill="1" applyAlignment="1">
      <alignment horizontal="right"/>
    </xf>
    <xf numFmtId="43" fontId="0" fillId="0" borderId="0" xfId="0" applyNumberFormat="1"/>
    <xf numFmtId="164" fontId="0" fillId="0" borderId="0" xfId="0" applyNumberFormat="1"/>
    <xf numFmtId="171" fontId="0" fillId="2" borderId="0" xfId="1" applyNumberFormat="1" applyFont="1" applyFill="1"/>
    <xf numFmtId="170" fontId="44" fillId="2" borderId="0" xfId="0" applyNumberFormat="1" applyFont="1" applyFill="1"/>
    <xf numFmtId="171" fontId="0" fillId="0" borderId="0" xfId="0" applyNumberFormat="1"/>
    <xf numFmtId="170" fontId="0" fillId="0" borderId="0" xfId="0" applyNumberFormat="1"/>
    <xf numFmtId="170" fontId="10" fillId="2" borderId="0" xfId="1" applyNumberFormat="1" applyFont="1" applyFill="1" applyBorder="1" applyAlignment="1">
      <alignment horizontal="center" vertical="center"/>
    </xf>
    <xf numFmtId="4" fontId="21" fillId="2" borderId="0" xfId="0" applyNumberFormat="1" applyFont="1" applyFill="1"/>
    <xf numFmtId="4" fontId="50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4" fontId="17" fillId="2" borderId="0" xfId="0" applyNumberFormat="1" applyFont="1" applyFill="1"/>
    <xf numFmtId="4" fontId="21" fillId="2" borderId="0" xfId="0" applyNumberFormat="1" applyFont="1" applyFill="1" applyAlignment="1">
      <alignment horizontal="right"/>
    </xf>
    <xf numFmtId="4" fontId="51" fillId="2" borderId="0" xfId="0" applyNumberFormat="1" applyFont="1" applyFill="1"/>
    <xf numFmtId="0" fontId="17" fillId="2" borderId="0" xfId="0" applyFont="1" applyFill="1"/>
    <xf numFmtId="0" fontId="14" fillId="11" borderId="3" xfId="0" applyFont="1" applyFill="1" applyBorder="1" applyAlignment="1">
      <alignment horizontal="center" vertical="center"/>
    </xf>
    <xf numFmtId="171" fontId="23" fillId="2" borderId="0" xfId="1" applyNumberFormat="1" applyFont="1" applyFill="1" applyAlignment="1">
      <alignment horizontal="right"/>
    </xf>
    <xf numFmtId="0" fontId="11" fillId="3" borderId="0" xfId="0" applyFont="1" applyFill="1" applyAlignment="1">
      <alignment horizontal="left" wrapText="1"/>
    </xf>
    <xf numFmtId="0" fontId="13" fillId="6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26" fillId="7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11" borderId="2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1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</cellXfs>
  <cellStyles count="5">
    <cellStyle name="Comma 2" xfId="2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10 10" xfId="4" xr:uid="{00000000-0005-0000-0000-000004000000}"/>
  </cellStyles>
  <dxfs count="0"/>
  <tableStyles count="0" defaultTableStyle="TableStyleMedium9" defaultPivotStyle="PivotStyleLight16"/>
  <colors>
    <mruColors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353290</xdr:colOff>
      <xdr:row>0</xdr:row>
      <xdr:rowOff>132483</xdr:rowOff>
    </xdr:from>
    <xdr:to>
      <xdr:col>0</xdr:col>
      <xdr:colOff>781915</xdr:colOff>
      <xdr:row>2</xdr:row>
      <xdr:rowOff>167985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290" y="132483"/>
          <a:ext cx="428625" cy="43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161925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31075" y="381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266699</xdr:colOff>
      <xdr:row>71</xdr:row>
      <xdr:rowOff>184437</xdr:rowOff>
    </xdr:from>
    <xdr:to>
      <xdr:col>0</xdr:col>
      <xdr:colOff>695324</xdr:colOff>
      <xdr:row>74</xdr:row>
      <xdr:rowOff>20780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11155505"/>
          <a:ext cx="428625" cy="425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266699</xdr:colOff>
      <xdr:row>151</xdr:row>
      <xdr:rowOff>184437</xdr:rowOff>
    </xdr:from>
    <xdr:to>
      <xdr:col>0</xdr:col>
      <xdr:colOff>695324</xdr:colOff>
      <xdr:row>154</xdr:row>
      <xdr:rowOff>20780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10965005"/>
          <a:ext cx="428625" cy="425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266699</xdr:colOff>
      <xdr:row>214</xdr:row>
      <xdr:rowOff>184437</xdr:rowOff>
    </xdr:from>
    <xdr:to>
      <xdr:col>0</xdr:col>
      <xdr:colOff>695324</xdr:colOff>
      <xdr:row>217</xdr:row>
      <xdr:rowOff>20780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21806187"/>
          <a:ext cx="428625" cy="425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75</xdr:row>
      <xdr:rowOff>38099</xdr:rowOff>
    </xdr:from>
    <xdr:to>
      <xdr:col>0</xdr:col>
      <xdr:colOff>933450</xdr:colOff>
      <xdr:row>76</xdr:row>
      <xdr:rowOff>373204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15574"/>
          <a:ext cx="428625" cy="487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419101</xdr:colOff>
      <xdr:row>1</xdr:row>
      <xdr:rowOff>47626</xdr:rowOff>
    </xdr:from>
    <xdr:to>
      <xdr:col>0</xdr:col>
      <xdr:colOff>895351</xdr:colOff>
      <xdr:row>3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1" y="381001"/>
          <a:ext cx="476250" cy="506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137</xdr:row>
      <xdr:rowOff>76200</xdr:rowOff>
    </xdr:from>
    <xdr:to>
      <xdr:col>0</xdr:col>
      <xdr:colOff>533400</xdr:colOff>
      <xdr:row>140</xdr:row>
      <xdr:rowOff>85725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076450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990600</xdr:colOff>
      <xdr:row>2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9906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73</xdr:row>
      <xdr:rowOff>19049</xdr:rowOff>
    </xdr:from>
    <xdr:to>
      <xdr:col>0</xdr:col>
      <xdr:colOff>981075</xdr:colOff>
      <xdr:row>74</xdr:row>
      <xdr:rowOff>302944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14192249"/>
          <a:ext cx="923925" cy="436295"/>
        </a:xfrm>
        <a:prstGeom prst="rect">
          <a:avLst/>
        </a:prstGeom>
      </xdr:spPr>
    </xdr:pic>
    <xdr:clientData/>
  </xdr:twoCellAnchor>
  <xdr:twoCellAnchor editAs="oneCell">
    <xdr:from>
      <xdr:col>0</xdr:col>
      <xdr:colOff>164524</xdr:colOff>
      <xdr:row>137</xdr:row>
      <xdr:rowOff>6927</xdr:rowOff>
    </xdr:from>
    <xdr:to>
      <xdr:col>0</xdr:col>
      <xdr:colOff>1183698</xdr:colOff>
      <xdr:row>138</xdr:row>
      <xdr:rowOff>141142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524" y="25404041"/>
          <a:ext cx="1019174" cy="376670"/>
        </a:xfrm>
        <a:prstGeom prst="rect">
          <a:avLst/>
        </a:prstGeom>
      </xdr:spPr>
    </xdr:pic>
    <xdr:clientData/>
  </xdr:twoCellAnchor>
  <xdr:twoCellAnchor editAs="oneCell">
    <xdr:from>
      <xdr:col>0</xdr:col>
      <xdr:colOff>192699</xdr:colOff>
      <xdr:row>201</xdr:row>
      <xdr:rowOff>24911</xdr:rowOff>
    </xdr:from>
    <xdr:to>
      <xdr:col>0</xdr:col>
      <xdr:colOff>1068999</xdr:colOff>
      <xdr:row>203</xdr:row>
      <xdr:rowOff>127832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699" y="38703738"/>
          <a:ext cx="876300" cy="55718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268</xdr:row>
      <xdr:rowOff>10257</xdr:rowOff>
    </xdr:from>
    <xdr:ext cx="876300" cy="557189"/>
    <xdr:pic>
      <xdr:nvPicPr>
        <xdr:cNvPr id="4" name="Imagen 3">
          <a:extLst>
            <a:ext uri="{FF2B5EF4-FFF2-40B4-BE49-F238E27FC236}">
              <a16:creationId xmlns:a16="http://schemas.microsoft.com/office/drawing/2014/main" id="{A6D694D5-4EBC-49DC-9E83-77058CC14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2031411"/>
          <a:ext cx="876300" cy="5571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X296"/>
  <sheetViews>
    <sheetView topLeftCell="A215" zoomScale="110" zoomScaleNormal="110" workbookViewId="0">
      <selection activeCell="A217" sqref="A217:I218"/>
    </sheetView>
  </sheetViews>
  <sheetFormatPr baseColWidth="10" defaultColWidth="11.42578125" defaultRowHeight="15" x14ac:dyDescent="0.25"/>
  <cols>
    <col min="1" max="1" width="22.5703125" style="15" customWidth="1"/>
    <col min="2" max="2" width="12.140625" style="15" customWidth="1"/>
    <col min="3" max="3" width="13.28515625" style="57" customWidth="1"/>
    <col min="4" max="4" width="0.85546875" style="2" customWidth="1"/>
    <col min="5" max="5" width="15" style="15" customWidth="1"/>
    <col min="6" max="6" width="12.28515625" style="15" customWidth="1"/>
    <col min="7" max="7" width="0.85546875" style="1" customWidth="1"/>
    <col min="8" max="8" width="12" style="15" customWidth="1"/>
    <col min="9" max="9" width="14.7109375" style="15" customWidth="1"/>
    <col min="10" max="10" width="1" style="1" customWidth="1"/>
    <col min="11" max="11" width="14.85546875" style="15" customWidth="1"/>
    <col min="12" max="12" width="29.140625" style="15" customWidth="1"/>
    <col min="13" max="13" width="11.28515625" customWidth="1"/>
    <col min="15" max="15" width="14.85546875" customWidth="1"/>
    <col min="16" max="16" width="1.42578125" customWidth="1"/>
    <col min="18" max="18" width="14.28515625" customWidth="1"/>
    <col min="19" max="19" width="0.7109375" customWidth="1"/>
    <col min="20" max="20" width="10.7109375" customWidth="1"/>
    <col min="21" max="21" width="14.140625" customWidth="1"/>
    <col min="22" max="22" width="0.85546875" customWidth="1"/>
    <col min="23" max="23" width="11.5703125" customWidth="1"/>
    <col min="24" max="24" width="14.140625" customWidth="1"/>
    <col min="25" max="25" width="19.140625" style="4" customWidth="1"/>
    <col min="26" max="26" width="23.28515625" customWidth="1"/>
    <col min="27" max="28" width="15" customWidth="1"/>
    <col min="29" max="29" width="2.140625" customWidth="1"/>
    <col min="30" max="30" width="11.140625" customWidth="1"/>
    <col min="31" max="31" width="14.42578125" customWidth="1"/>
    <col min="32" max="32" width="9.7109375" customWidth="1"/>
  </cols>
  <sheetData>
    <row r="1" spans="1:34" ht="12" customHeight="1" x14ac:dyDescent="0.25">
      <c r="A1" s="1"/>
      <c r="B1" s="1"/>
      <c r="C1" s="2"/>
      <c r="E1" s="1"/>
      <c r="F1" s="1"/>
      <c r="H1" s="1"/>
      <c r="I1" s="79" t="s">
        <v>0</v>
      </c>
      <c r="K1" s="1"/>
      <c r="L1" s="3"/>
      <c r="M1" s="4"/>
      <c r="N1" s="4"/>
      <c r="O1" s="4"/>
      <c r="P1" s="4"/>
      <c r="Q1" s="4"/>
      <c r="R1" s="3"/>
      <c r="T1" s="4"/>
      <c r="U1" s="4"/>
      <c r="V1" s="4"/>
      <c r="W1" s="4"/>
      <c r="X1" s="71"/>
      <c r="Z1" s="4"/>
      <c r="AA1" s="4"/>
      <c r="AB1" s="4"/>
      <c r="AC1" s="4"/>
      <c r="AD1" s="4"/>
      <c r="AE1" s="71"/>
      <c r="AF1" s="4"/>
    </row>
    <row r="2" spans="1:34" ht="11.25" customHeight="1" x14ac:dyDescent="0.3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74"/>
      <c r="K2" s="72"/>
      <c r="L2" s="72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7"/>
      <c r="Z2" s="387"/>
      <c r="AA2" s="387"/>
      <c r="AB2" s="387"/>
      <c r="AC2" s="387"/>
      <c r="AD2" s="387"/>
      <c r="AE2" s="387"/>
      <c r="AF2" s="5"/>
      <c r="AG2" s="5"/>
      <c r="AH2" s="5"/>
    </row>
    <row r="3" spans="1:34" s="10" customFormat="1" ht="17.25" customHeight="1" x14ac:dyDescent="0.3">
      <c r="A3" s="386" t="s">
        <v>2</v>
      </c>
      <c r="B3" s="386"/>
      <c r="C3" s="386"/>
      <c r="D3" s="386"/>
      <c r="E3" s="386"/>
      <c r="F3" s="386"/>
      <c r="G3" s="386"/>
      <c r="H3" s="386"/>
      <c r="I3" s="386"/>
      <c r="J3" s="75"/>
      <c r="K3" s="73"/>
      <c r="L3" s="73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9"/>
      <c r="Z3" s="389"/>
      <c r="AA3" s="389"/>
      <c r="AB3" s="389"/>
      <c r="AC3" s="389"/>
      <c r="AD3" s="389"/>
      <c r="AE3" s="389"/>
      <c r="AF3" s="389"/>
      <c r="AG3" s="389"/>
    </row>
    <row r="4" spans="1:34" s="10" customFormat="1" ht="2.25" customHeight="1" x14ac:dyDescent="0.3">
      <c r="A4" s="6"/>
      <c r="B4" s="6"/>
      <c r="C4" s="6"/>
      <c r="D4" s="8"/>
      <c r="E4" s="6"/>
      <c r="F4" s="6"/>
      <c r="G4" s="8"/>
      <c r="H4" s="6"/>
      <c r="I4" s="6"/>
      <c r="J4" s="8"/>
      <c r="K4" s="6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Y4" s="61"/>
      <c r="Z4" s="376"/>
      <c r="AA4" s="376"/>
      <c r="AB4" s="376"/>
      <c r="AC4" s="376"/>
      <c r="AD4" s="376"/>
      <c r="AE4" s="376"/>
      <c r="AF4" s="9"/>
      <c r="AG4" s="9"/>
    </row>
    <row r="5" spans="1:34" s="10" customFormat="1" ht="11.25" customHeight="1" thickBot="1" x14ac:dyDescent="0.3">
      <c r="A5" s="385" t="s">
        <v>3</v>
      </c>
      <c r="B5" s="384">
        <v>2002</v>
      </c>
      <c r="C5" s="384"/>
      <c r="D5" s="378"/>
      <c r="E5" s="384">
        <v>2003</v>
      </c>
      <c r="F5" s="384"/>
      <c r="G5" s="378"/>
      <c r="H5" s="384">
        <v>2004</v>
      </c>
      <c r="I5" s="384"/>
      <c r="J5" s="378"/>
      <c r="S5" s="84"/>
      <c r="Y5" s="11"/>
      <c r="AC5" s="378"/>
      <c r="AF5" s="9"/>
      <c r="AG5" s="9"/>
    </row>
    <row r="6" spans="1:34" s="10" customFormat="1" ht="29.25" customHeight="1" x14ac:dyDescent="0.25">
      <c r="A6" s="385"/>
      <c r="B6" s="64" t="s">
        <v>4</v>
      </c>
      <c r="C6" s="64" t="s">
        <v>5</v>
      </c>
      <c r="D6" s="76"/>
      <c r="E6" s="64" t="s">
        <v>4</v>
      </c>
      <c r="F6" s="64" t="s">
        <v>5</v>
      </c>
      <c r="G6" s="76"/>
      <c r="H6" s="64" t="s">
        <v>4</v>
      </c>
      <c r="I6" s="64" t="s">
        <v>5</v>
      </c>
      <c r="J6" s="76"/>
      <c r="L6" s="124"/>
      <c r="S6" s="84"/>
      <c r="Y6" s="11"/>
      <c r="AC6" s="378"/>
      <c r="AF6" s="9"/>
      <c r="AG6" s="9"/>
    </row>
    <row r="7" spans="1:34" ht="13.5" customHeight="1" x14ac:dyDescent="0.25">
      <c r="A7" s="13" t="s">
        <v>6</v>
      </c>
      <c r="B7" s="14">
        <f>+B8+B56+B65</f>
        <v>33732.225584</v>
      </c>
      <c r="C7" s="14"/>
      <c r="D7" s="80"/>
      <c r="E7" s="14">
        <f>45464407/1000</f>
        <v>45464.406999999999</v>
      </c>
      <c r="F7" s="14"/>
      <c r="G7" s="80"/>
      <c r="H7" s="14">
        <f>73907174/1000</f>
        <v>73907.173999999999</v>
      </c>
      <c r="I7" s="13"/>
      <c r="L7" s="122"/>
      <c r="S7" s="17">
        <f>S8+S56+S65</f>
        <v>0</v>
      </c>
      <c r="Y7" s="18"/>
      <c r="AC7" s="18"/>
      <c r="AF7" s="9"/>
      <c r="AG7" s="9"/>
    </row>
    <row r="8" spans="1:34" s="7" customFormat="1" ht="12" customHeight="1" x14ac:dyDescent="0.25">
      <c r="A8" s="18" t="s">
        <v>7</v>
      </c>
      <c r="B8" s="21">
        <f>B9+B12+B18+B21+B23+B27+B37+B46+B52</f>
        <v>16066.632584000001</v>
      </c>
      <c r="C8" s="22">
        <v>99.989042131116577</v>
      </c>
      <c r="D8" s="22"/>
      <c r="E8" s="21">
        <f>23213258/1000</f>
        <v>23213.258000000002</v>
      </c>
      <c r="F8" s="22">
        <v>100</v>
      </c>
      <c r="G8" s="22"/>
      <c r="H8" s="21">
        <f>34522424/1000</f>
        <v>34522.423999999999</v>
      </c>
      <c r="I8" s="22">
        <v>100</v>
      </c>
      <c r="J8" s="22"/>
      <c r="L8" s="125"/>
      <c r="Y8" s="18"/>
      <c r="AC8" s="18"/>
      <c r="AF8" s="11"/>
      <c r="AG8" s="11"/>
    </row>
    <row r="9" spans="1:34" s="10" customFormat="1" ht="12" customHeight="1" x14ac:dyDescent="0.25">
      <c r="A9" s="24" t="s">
        <v>8</v>
      </c>
      <c r="B9" s="21">
        <f>3421684/1000</f>
        <v>3421.6840000000002</v>
      </c>
      <c r="C9" s="25">
        <v>19.297151123280255</v>
      </c>
      <c r="D9" s="26"/>
      <c r="E9" s="21">
        <f>4113075/1000</f>
        <v>4113.0749999999998</v>
      </c>
      <c r="F9" s="25">
        <v>17.7186459565478</v>
      </c>
      <c r="G9" s="26"/>
      <c r="H9" s="21">
        <f>8173016/1000</f>
        <v>8173.0159999999996</v>
      </c>
      <c r="I9" s="25">
        <v>23.67451370158712</v>
      </c>
      <c r="J9" s="26"/>
      <c r="S9" s="28"/>
      <c r="Y9" s="7"/>
      <c r="AC9" s="24"/>
      <c r="AF9" s="9"/>
      <c r="AG9" s="9"/>
    </row>
    <row r="10" spans="1:34" s="10" customFormat="1" ht="11.25" customHeight="1" x14ac:dyDescent="0.25">
      <c r="A10" s="30" t="s">
        <v>9</v>
      </c>
      <c r="B10" s="31">
        <f>3298219/1000</f>
        <v>3298.2190000000001</v>
      </c>
      <c r="C10" s="32">
        <v>18.600849897499092</v>
      </c>
      <c r="D10" s="58"/>
      <c r="E10" s="31">
        <f>3865569/1000</f>
        <v>3865.569</v>
      </c>
      <c r="F10" s="32">
        <v>16.652419061555253</v>
      </c>
      <c r="G10" s="58"/>
      <c r="H10" s="31">
        <f>7816672/1000</f>
        <v>7816.6719999999996</v>
      </c>
      <c r="I10" s="32">
        <v>22.642303448911928</v>
      </c>
      <c r="J10" s="58"/>
      <c r="S10" s="7"/>
      <c r="Y10" s="62"/>
      <c r="AC10" s="30"/>
      <c r="AF10" s="9"/>
      <c r="AG10" s="9"/>
    </row>
    <row r="11" spans="1:34" s="10" customFormat="1" ht="11.25" customHeight="1" x14ac:dyDescent="0.25">
      <c r="A11" s="30" t="s">
        <v>10</v>
      </c>
      <c r="B11" s="31">
        <f>123465/1000</f>
        <v>123.465</v>
      </c>
      <c r="C11" s="32">
        <v>0.69630122578116416</v>
      </c>
      <c r="D11" s="58"/>
      <c r="E11" s="31">
        <f>247506/1000</f>
        <v>247.506</v>
      </c>
      <c r="F11" s="32">
        <v>1.0662268949925082</v>
      </c>
      <c r="G11" s="58"/>
      <c r="H11" s="31">
        <f>356344/1000</f>
        <v>356.34399999999999</v>
      </c>
      <c r="I11" s="32">
        <v>1.0322102526751886</v>
      </c>
      <c r="J11" s="58"/>
      <c r="S11" s="7"/>
      <c r="Y11" s="62"/>
      <c r="AC11" s="30"/>
      <c r="AF11" s="9"/>
      <c r="AG11" s="9"/>
    </row>
    <row r="12" spans="1:34" s="10" customFormat="1" ht="24" customHeight="1" x14ac:dyDescent="0.25">
      <c r="A12" s="37" t="s">
        <v>11</v>
      </c>
      <c r="B12" s="21">
        <f>4350883/1000</f>
        <v>4350.8829999999998</v>
      </c>
      <c r="C12" s="38">
        <v>24.537522100436792</v>
      </c>
      <c r="D12" s="59"/>
      <c r="E12" s="21">
        <f>5853226/1000</f>
        <v>5853.2259999999997</v>
      </c>
      <c r="F12" s="38">
        <v>25.215012903402013</v>
      </c>
      <c r="G12" s="59"/>
      <c r="H12" s="21">
        <f>7542296/1000</f>
        <v>7542.2960000000003</v>
      </c>
      <c r="I12" s="38">
        <v>21.84752727676365</v>
      </c>
      <c r="J12" s="59"/>
      <c r="S12" s="7"/>
      <c r="Y12" s="62"/>
      <c r="AC12" s="37"/>
      <c r="AF12" s="9"/>
      <c r="AG12" s="9"/>
    </row>
    <row r="13" spans="1:34" s="10" customFormat="1" ht="11.25" customHeight="1" x14ac:dyDescent="0.25">
      <c r="A13" s="30" t="s">
        <v>12</v>
      </c>
      <c r="B13" s="31">
        <f>1954619/1000</f>
        <v>1954.6189999999999</v>
      </c>
      <c r="C13" s="32">
        <v>11.02339614980078</v>
      </c>
      <c r="D13" s="58"/>
      <c r="E13" s="31">
        <f>2509612/1000</f>
        <v>2509.6120000000001</v>
      </c>
      <c r="F13" s="32">
        <v>10.811114924066239</v>
      </c>
      <c r="G13" s="58"/>
      <c r="H13" s="31">
        <f>3494706/1000</f>
        <v>3494.7060000000001</v>
      </c>
      <c r="I13" s="32">
        <v>10.123002950198398</v>
      </c>
      <c r="J13" s="58"/>
      <c r="S13" s="34"/>
      <c r="Y13" s="62"/>
      <c r="AC13" s="30"/>
      <c r="AF13" s="9"/>
      <c r="AG13" s="9"/>
    </row>
    <row r="14" spans="1:34" s="10" customFormat="1" ht="11.25" customHeight="1" x14ac:dyDescent="0.25">
      <c r="A14" s="30" t="s">
        <v>13</v>
      </c>
      <c r="B14" s="31">
        <f>267867/1000</f>
        <v>267.86700000000002</v>
      </c>
      <c r="C14" s="32">
        <v>1.5106801153875435</v>
      </c>
      <c r="D14" s="58"/>
      <c r="E14" s="31">
        <f>350700/1000</f>
        <v>350.7</v>
      </c>
      <c r="F14" s="32">
        <v>1.5107745754602822</v>
      </c>
      <c r="G14" s="58"/>
      <c r="H14" s="31">
        <f>378377/1000</f>
        <v>378.37700000000001</v>
      </c>
      <c r="I14" s="32">
        <v>1.0960325381554898</v>
      </c>
      <c r="J14" s="58"/>
      <c r="S14" s="7"/>
      <c r="Y14" s="62"/>
      <c r="AC14" s="30"/>
      <c r="AF14" s="9"/>
      <c r="AG14" s="9"/>
    </row>
    <row r="15" spans="1:34" s="10" customFormat="1" ht="11.25" customHeight="1" x14ac:dyDescent="0.25">
      <c r="A15" s="30" t="s">
        <v>14</v>
      </c>
      <c r="B15" s="31">
        <f>1217197/1000</f>
        <v>1217.1969999999999</v>
      </c>
      <c r="C15" s="32">
        <v>6.8645831864670601</v>
      </c>
      <c r="D15" s="58"/>
      <c r="E15" s="31">
        <f>1543124/1000</f>
        <v>1543.124</v>
      </c>
      <c r="F15" s="32">
        <v>6.6475976788781654</v>
      </c>
      <c r="G15" s="58"/>
      <c r="H15" s="31">
        <f>2372361/1000</f>
        <v>2372.3609999999999</v>
      </c>
      <c r="I15" s="32">
        <v>6.8719421324528076</v>
      </c>
      <c r="J15" s="58"/>
      <c r="S15" s="7"/>
      <c r="Y15" s="62"/>
      <c r="AC15" s="30"/>
      <c r="AF15" s="9"/>
      <c r="AG15" s="9"/>
    </row>
    <row r="16" spans="1:34" s="10" customFormat="1" ht="11.25" customHeight="1" x14ac:dyDescent="0.25">
      <c r="A16" s="30" t="s">
        <v>15</v>
      </c>
      <c r="B16" s="31">
        <f>911200/1000</f>
        <v>911.2</v>
      </c>
      <c r="C16" s="32">
        <v>5.1388626487814095</v>
      </c>
      <c r="D16" s="58"/>
      <c r="E16" s="31">
        <f>1449790/1000</f>
        <v>1449.79</v>
      </c>
      <c r="F16" s="32">
        <v>6.2455257249973268</v>
      </c>
      <c r="G16" s="58"/>
      <c r="H16" s="31">
        <f>1296852/1000</f>
        <v>1296.8520000000001</v>
      </c>
      <c r="I16" s="32">
        <v>3.7565496559569511</v>
      </c>
      <c r="J16" s="58"/>
      <c r="S16" s="7"/>
      <c r="Y16" s="62"/>
      <c r="AC16" s="30"/>
      <c r="AF16" s="9"/>
      <c r="AG16" s="9"/>
    </row>
    <row r="17" spans="1:33" s="10" customFormat="1" ht="1.5" customHeight="1" x14ac:dyDescent="0.25">
      <c r="A17" s="30"/>
      <c r="B17" s="31"/>
      <c r="C17" s="32"/>
      <c r="D17" s="58"/>
      <c r="E17" s="31"/>
      <c r="F17" s="32"/>
      <c r="G17" s="58"/>
      <c r="H17" s="31"/>
      <c r="I17" s="32"/>
      <c r="J17" s="58"/>
      <c r="S17" s="7"/>
      <c r="Y17" s="62"/>
      <c r="AC17" s="30"/>
      <c r="AF17" s="9"/>
      <c r="AG17" s="9"/>
    </row>
    <row r="18" spans="1:33" s="10" customFormat="1" ht="12" customHeight="1" x14ac:dyDescent="0.25">
      <c r="A18" s="24" t="s">
        <v>16</v>
      </c>
      <c r="B18" s="40">
        <f>33734/1000</f>
        <v>33.734000000000002</v>
      </c>
      <c r="C18" s="38">
        <v>0.19024845543677793</v>
      </c>
      <c r="D18" s="59"/>
      <c r="E18" s="40">
        <f>33940/1000</f>
        <v>33.94</v>
      </c>
      <c r="F18" s="38">
        <v>0.14620954973231245</v>
      </c>
      <c r="G18" s="59"/>
      <c r="H18" s="40">
        <f>72861/1000</f>
        <v>72.861000000000004</v>
      </c>
      <c r="I18" s="38">
        <v>0.21105412528390241</v>
      </c>
      <c r="J18" s="59"/>
      <c r="S18" s="7"/>
      <c r="Y18" s="62"/>
      <c r="AC18" s="24"/>
      <c r="AF18" s="9"/>
      <c r="AG18" s="9"/>
    </row>
    <row r="19" spans="1:33" s="10" customFormat="1" ht="11.25" customHeight="1" x14ac:dyDescent="0.25">
      <c r="A19" s="30" t="s">
        <v>17</v>
      </c>
      <c r="B19" s="31">
        <f>33386/1000</f>
        <v>33.386000000000003</v>
      </c>
      <c r="C19" s="32">
        <v>0.18828585205467091</v>
      </c>
      <c r="D19" s="58"/>
      <c r="E19" s="31">
        <f>33528/1000</f>
        <v>33.527999999999999</v>
      </c>
      <c r="F19" s="32">
        <v>0.14443470192766567</v>
      </c>
      <c r="G19" s="58"/>
      <c r="H19" s="31">
        <f>72460/1000</f>
        <v>72.459999999999994</v>
      </c>
      <c r="I19" s="32">
        <v>0.20989256142616175</v>
      </c>
      <c r="J19" s="58"/>
      <c r="S19" s="7"/>
      <c r="Y19" s="62"/>
      <c r="AC19" s="30"/>
      <c r="AF19" s="9"/>
      <c r="AG19" s="9"/>
    </row>
    <row r="20" spans="1:33" ht="11.25" customHeight="1" x14ac:dyDescent="0.25">
      <c r="A20" s="30" t="s">
        <v>18</v>
      </c>
      <c r="B20" s="41">
        <v>0.34799999999999998</v>
      </c>
      <c r="C20" s="32">
        <v>1.9626033821070351E-3</v>
      </c>
      <c r="D20" s="58"/>
      <c r="E20" s="31">
        <v>0.41199999999999998</v>
      </c>
      <c r="F20" s="32">
        <v>1.7748478046468101E-3</v>
      </c>
      <c r="G20" s="58"/>
      <c r="H20" s="31">
        <v>0.40100000000000002</v>
      </c>
      <c r="I20" s="32">
        <v>1.1615638577406962E-3</v>
      </c>
      <c r="J20" s="58"/>
      <c r="S20" s="4"/>
      <c r="AC20" s="1"/>
      <c r="AF20" s="9"/>
      <c r="AG20" s="9"/>
    </row>
    <row r="21" spans="1:33" s="10" customFormat="1" ht="12" customHeight="1" x14ac:dyDescent="0.25">
      <c r="A21" s="24" t="s">
        <v>19</v>
      </c>
      <c r="B21" s="98">
        <v>1.9430000000000001</v>
      </c>
      <c r="C21" s="38">
        <v>1.0957868883430947E-2</v>
      </c>
      <c r="D21" s="59"/>
      <c r="E21" s="29">
        <v>2.677</v>
      </c>
      <c r="F21" s="38">
        <v>1.1532202847183278E-2</v>
      </c>
      <c r="G21" s="59"/>
      <c r="H21" s="29">
        <v>1.9430000000000001</v>
      </c>
      <c r="I21" s="38">
        <v>5.6282258742897081E-3</v>
      </c>
      <c r="J21" s="59"/>
      <c r="S21" s="7"/>
      <c r="Y21" s="62"/>
      <c r="AC21" s="24"/>
      <c r="AF21" s="9"/>
      <c r="AG21" s="9"/>
    </row>
    <row r="22" spans="1:33" s="10" customFormat="1" ht="11.25" customHeight="1" x14ac:dyDescent="0.25">
      <c r="A22" s="30" t="s">
        <v>20</v>
      </c>
      <c r="B22" s="41">
        <v>1.9430000000000001</v>
      </c>
      <c r="C22" s="32">
        <v>1.0957868883430947E-2</v>
      </c>
      <c r="D22" s="58"/>
      <c r="E22" s="31">
        <v>2.677</v>
      </c>
      <c r="F22" s="32">
        <v>1.1532202847183278E-2</v>
      </c>
      <c r="G22" s="58"/>
      <c r="H22" s="31">
        <v>1.9430000000000001</v>
      </c>
      <c r="I22" s="32">
        <v>5.6282258742897081E-3</v>
      </c>
      <c r="J22" s="58"/>
      <c r="S22" s="7"/>
      <c r="Y22" s="62"/>
      <c r="AC22" s="30"/>
      <c r="AF22" s="9"/>
      <c r="AG22" s="9"/>
    </row>
    <row r="23" spans="1:33" s="10" customFormat="1" ht="12" customHeight="1" x14ac:dyDescent="0.25">
      <c r="A23" s="24" t="s">
        <v>21</v>
      </c>
      <c r="B23" s="29">
        <f>890514/1000</f>
        <v>890.51400000000001</v>
      </c>
      <c r="C23" s="38">
        <v>5.0222005408438628</v>
      </c>
      <c r="D23" s="59"/>
      <c r="E23" s="29">
        <f>1054088/1000</f>
        <v>1054.088</v>
      </c>
      <c r="F23" s="38">
        <v>4.5408877978265698</v>
      </c>
      <c r="G23" s="59"/>
      <c r="H23" s="29">
        <f>1490761/1000</f>
        <v>1490.761</v>
      </c>
      <c r="I23" s="38">
        <v>4.3182396462079256</v>
      </c>
      <c r="J23" s="59"/>
      <c r="S23" s="7"/>
      <c r="Y23" s="62"/>
      <c r="AC23" s="24"/>
      <c r="AF23" s="9"/>
      <c r="AG23" s="9"/>
    </row>
    <row r="24" spans="1:33" s="10" customFormat="1" ht="11.25" customHeight="1" x14ac:dyDescent="0.25">
      <c r="A24" s="30" t="s">
        <v>22</v>
      </c>
      <c r="B24" s="31">
        <f>517996/1000</f>
        <v>517.99599999999998</v>
      </c>
      <c r="C24" s="32">
        <v>2.9213238549365395</v>
      </c>
      <c r="D24" s="58"/>
      <c r="E24" s="31">
        <f>572474/1000</f>
        <v>572.47400000000005</v>
      </c>
      <c r="F24" s="32">
        <v>2.4661510245567424</v>
      </c>
      <c r="G24" s="58"/>
      <c r="H24" s="31">
        <f>906446/1000</f>
        <v>906.44600000000003</v>
      </c>
      <c r="I24" s="32">
        <v>2.6256730987372148</v>
      </c>
      <c r="J24" s="58"/>
      <c r="S24" s="7"/>
      <c r="Y24" s="62"/>
      <c r="AC24" s="30"/>
      <c r="AF24" s="9"/>
      <c r="AG24" s="9"/>
    </row>
    <row r="25" spans="1:33" s="10" customFormat="1" ht="11.25" customHeight="1" x14ac:dyDescent="0.25">
      <c r="A25" s="30" t="s">
        <v>23</v>
      </c>
      <c r="B25" s="31">
        <f>290159/1000</f>
        <v>290.15899999999999</v>
      </c>
      <c r="C25" s="32">
        <v>1.6363995251402161</v>
      </c>
      <c r="D25" s="58"/>
      <c r="E25" s="31">
        <f>332564/1000</f>
        <v>332.56400000000002</v>
      </c>
      <c r="F25" s="32">
        <v>1.4326468089916546</v>
      </c>
      <c r="G25" s="58"/>
      <c r="H25" s="31">
        <f>374154/1000</f>
        <v>374.154</v>
      </c>
      <c r="I25" s="32">
        <v>1.0837999092995325</v>
      </c>
      <c r="J25" s="58"/>
      <c r="S25" s="7"/>
      <c r="Y25" s="62"/>
      <c r="AC25" s="30"/>
      <c r="AF25" s="9"/>
      <c r="AG25" s="9"/>
    </row>
    <row r="26" spans="1:33" s="10" customFormat="1" ht="11.25" customHeight="1" x14ac:dyDescent="0.25">
      <c r="A26" s="30" t="s">
        <v>24</v>
      </c>
      <c r="B26" s="31">
        <f>82359/1000</f>
        <v>82.358999999999995</v>
      </c>
      <c r="C26" s="32">
        <v>0.46447716076710721</v>
      </c>
      <c r="D26" s="58"/>
      <c r="E26" s="31">
        <f>149050/1000</f>
        <v>149.05000000000001</v>
      </c>
      <c r="F26" s="32">
        <v>0.64208996427817244</v>
      </c>
      <c r="G26" s="58"/>
      <c r="H26" s="31">
        <f>210161/1000</f>
        <v>210.161</v>
      </c>
      <c r="I26" s="32">
        <v>0.60876663817117826</v>
      </c>
      <c r="J26" s="58"/>
      <c r="S26" s="7"/>
      <c r="Y26" s="62"/>
      <c r="AC26" s="30"/>
      <c r="AF26" s="9"/>
      <c r="AG26" s="9"/>
    </row>
    <row r="27" spans="1:33" s="10" customFormat="1" ht="18.75" customHeight="1" x14ac:dyDescent="0.25">
      <c r="A27" s="37" t="s">
        <v>25</v>
      </c>
      <c r="B27" s="21">
        <f>SUM(B28:B35)</f>
        <v>2274.634</v>
      </c>
      <c r="C27" s="38">
        <f t="shared" ref="C27:I27" si="0">SUM(C28:C35)</f>
        <v>12.828173509930041</v>
      </c>
      <c r="D27" s="38"/>
      <c r="E27" s="21">
        <f t="shared" si="0"/>
        <v>2910.4530000000004</v>
      </c>
      <c r="F27" s="38">
        <f t="shared" si="0"/>
        <v>12.537891062081851</v>
      </c>
      <c r="G27" s="38"/>
      <c r="H27" s="21">
        <f t="shared" si="0"/>
        <v>4378.7730000000001</v>
      </c>
      <c r="I27" s="38">
        <f t="shared" si="0"/>
        <v>12.683851516336164</v>
      </c>
      <c r="J27" s="59"/>
      <c r="S27" s="7"/>
      <c r="Y27" s="62"/>
      <c r="AC27" s="24"/>
      <c r="AF27" s="9"/>
      <c r="AG27" s="9"/>
    </row>
    <row r="28" spans="1:33" s="10" customFormat="1" ht="11.25" customHeight="1" x14ac:dyDescent="0.25">
      <c r="A28" s="30" t="s">
        <v>26</v>
      </c>
      <c r="B28" s="31">
        <f>342066/1000</f>
        <v>342.06599999999997</v>
      </c>
      <c r="C28" s="32">
        <v>1.9291376106431755</v>
      </c>
      <c r="D28" s="58"/>
      <c r="E28" s="31">
        <f>445134/1000</f>
        <v>445.13400000000001</v>
      </c>
      <c r="F28" s="32">
        <v>1.9175852006642065</v>
      </c>
      <c r="G28" s="58"/>
      <c r="H28" s="31">
        <f>577068/1000</f>
        <v>577.06799999999998</v>
      </c>
      <c r="I28" s="32">
        <v>1.6715743946601203</v>
      </c>
      <c r="J28" s="58"/>
      <c r="S28" s="7"/>
      <c r="Y28" s="62"/>
      <c r="AC28" s="30"/>
      <c r="AF28" s="9"/>
      <c r="AG28" s="9"/>
    </row>
    <row r="29" spans="1:33" s="10" customFormat="1" ht="11.25" customHeight="1" x14ac:dyDescent="0.25">
      <c r="A29" s="30" t="s">
        <v>27</v>
      </c>
      <c r="B29" s="31">
        <f>115443/1000</f>
        <v>115.443</v>
      </c>
      <c r="C29" s="32">
        <v>0.65105983402466228</v>
      </c>
      <c r="D29" s="58"/>
      <c r="E29" s="31">
        <f>134528/1000</f>
        <v>134.52799999999999</v>
      </c>
      <c r="F29" s="32">
        <v>0.57953088704739331</v>
      </c>
      <c r="G29" s="58"/>
      <c r="H29" s="31">
        <f>237923/1000</f>
        <v>237.923</v>
      </c>
      <c r="I29" s="32">
        <v>0.68918393447690696</v>
      </c>
      <c r="J29" s="58"/>
      <c r="S29" s="7"/>
      <c r="Y29" s="62"/>
      <c r="AC29" s="30"/>
      <c r="AF29" s="9"/>
      <c r="AG29" s="9"/>
    </row>
    <row r="30" spans="1:33" s="10" customFormat="1" ht="11.25" customHeight="1" x14ac:dyDescent="0.25">
      <c r="A30" s="30" t="s">
        <v>28</v>
      </c>
      <c r="B30" s="31">
        <f>457510/1000</f>
        <v>457.51</v>
      </c>
      <c r="C30" s="32">
        <v>2.5802030843327288</v>
      </c>
      <c r="D30" s="58"/>
      <c r="E30" s="31">
        <f>496203/1000</f>
        <v>496.20299999999997</v>
      </c>
      <c r="F30" s="32">
        <v>2.1375844786630123</v>
      </c>
      <c r="G30" s="58"/>
      <c r="H30" s="31">
        <f>937655/1000</f>
        <v>937.65499999999997</v>
      </c>
      <c r="I30" s="32">
        <v>2.7160752095507545</v>
      </c>
      <c r="J30" s="58"/>
      <c r="S30" s="7"/>
      <c r="Y30" s="62"/>
      <c r="AC30" s="30"/>
      <c r="AF30" s="9"/>
      <c r="AG30" s="9"/>
    </row>
    <row r="31" spans="1:33" s="10" customFormat="1" ht="11.25" customHeight="1" x14ac:dyDescent="0.25">
      <c r="A31" s="30" t="s">
        <v>29</v>
      </c>
      <c r="B31" s="31">
        <f>539816/1000</f>
        <v>539.81600000000003</v>
      </c>
      <c r="C31" s="32">
        <v>3.044381342860607</v>
      </c>
      <c r="D31" s="58"/>
      <c r="E31" s="31">
        <f>761974/1000</f>
        <v>761.97400000000005</v>
      </c>
      <c r="F31" s="32">
        <v>3.2824948570338552</v>
      </c>
      <c r="G31" s="58"/>
      <c r="H31" s="31">
        <f>1466147/1000</f>
        <v>1466.1469999999999</v>
      </c>
      <c r="I31" s="32">
        <v>4.2469410606856579</v>
      </c>
      <c r="J31" s="58"/>
      <c r="S31" s="7"/>
      <c r="Y31" s="62"/>
      <c r="AC31" s="30"/>
      <c r="AF31" s="9"/>
      <c r="AG31" s="9"/>
    </row>
    <row r="32" spans="1:33" s="10" customFormat="1" ht="11.25" customHeight="1" x14ac:dyDescent="0.25">
      <c r="A32" s="30" t="s">
        <v>30</v>
      </c>
      <c r="B32" s="31">
        <f>183559/1000</f>
        <v>183.559</v>
      </c>
      <c r="C32" s="32">
        <v>1.0352112477476587</v>
      </c>
      <c r="D32" s="58"/>
      <c r="E32" s="31">
        <f>219300/1000</f>
        <v>219.3</v>
      </c>
      <c r="F32" s="32">
        <v>0.94471874650253751</v>
      </c>
      <c r="G32" s="58"/>
      <c r="H32" s="31">
        <f>223371/1000</f>
        <v>223.37100000000001</v>
      </c>
      <c r="I32" s="32">
        <v>0.64703162211320964</v>
      </c>
      <c r="J32" s="58"/>
      <c r="S32" s="7"/>
      <c r="Y32" s="62"/>
      <c r="AC32" s="30"/>
      <c r="AF32" s="9"/>
      <c r="AG32" s="9"/>
    </row>
    <row r="33" spans="1:33" s="10" customFormat="1" ht="11.25" customHeight="1" x14ac:dyDescent="0.25">
      <c r="A33" s="30" t="s">
        <v>31</v>
      </c>
      <c r="B33" s="31">
        <f>394667/1000</f>
        <v>394.66699999999997</v>
      </c>
      <c r="C33" s="32">
        <v>2.225789623580567</v>
      </c>
      <c r="D33" s="58"/>
      <c r="E33" s="31">
        <f>646929/1000</f>
        <v>646.92899999999997</v>
      </c>
      <c r="F33" s="32">
        <v>2.7868944548843597</v>
      </c>
      <c r="G33" s="58"/>
      <c r="H33" s="31">
        <f>830701/1000</f>
        <v>830.70100000000002</v>
      </c>
      <c r="I33" s="32">
        <v>2.4062649830150979</v>
      </c>
      <c r="J33" s="58"/>
      <c r="S33" s="7"/>
      <c r="Y33" s="62"/>
      <c r="AC33" s="30"/>
      <c r="AF33" s="9"/>
      <c r="AG33" s="9"/>
    </row>
    <row r="34" spans="1:33" s="10" customFormat="1" ht="11.25" customHeight="1" x14ac:dyDescent="0.25">
      <c r="A34" s="30" t="s">
        <v>32</v>
      </c>
      <c r="B34" s="31">
        <f>228233/1000</f>
        <v>228.233</v>
      </c>
      <c r="C34" s="32">
        <v>1.2871576370932039</v>
      </c>
      <c r="D34" s="58"/>
      <c r="E34" s="31">
        <f>191936/1000</f>
        <v>191.93600000000001</v>
      </c>
      <c r="F34" s="32">
        <v>0.82683783551623824</v>
      </c>
      <c r="G34" s="58"/>
      <c r="H34" s="31">
        <f>89840/1000</f>
        <v>89.84</v>
      </c>
      <c r="I34" s="32">
        <v>0.26023665082150665</v>
      </c>
      <c r="J34" s="58"/>
      <c r="S34" s="7"/>
      <c r="Y34" s="62"/>
      <c r="AC34" s="30"/>
      <c r="AF34" s="9"/>
      <c r="AG34" s="9"/>
    </row>
    <row r="35" spans="1:33" s="10" customFormat="1" ht="11.25" customHeight="1" x14ac:dyDescent="0.25">
      <c r="A35" s="30" t="s">
        <v>33</v>
      </c>
      <c r="B35" s="31">
        <v>13.34</v>
      </c>
      <c r="C35" s="32">
        <v>7.523312964743635E-2</v>
      </c>
      <c r="D35" s="58"/>
      <c r="E35" s="31">
        <v>14.449</v>
      </c>
      <c r="F35" s="32">
        <v>6.2244601770246981E-2</v>
      </c>
      <c r="G35" s="58"/>
      <c r="H35" s="31">
        <v>16.068000000000001</v>
      </c>
      <c r="I35" s="32">
        <v>4.6543661012911491E-2</v>
      </c>
      <c r="J35" s="58"/>
      <c r="S35" s="7"/>
      <c r="Y35" s="62"/>
      <c r="AC35" s="30"/>
      <c r="AF35" s="9"/>
      <c r="AG35" s="9"/>
    </row>
    <row r="36" spans="1:33" s="10" customFormat="1" ht="2.25" customHeight="1" x14ac:dyDescent="0.25">
      <c r="A36" s="30"/>
      <c r="B36" s="31"/>
      <c r="C36" s="32"/>
      <c r="D36" s="58"/>
      <c r="E36" s="31"/>
      <c r="F36" s="32"/>
      <c r="G36" s="58"/>
      <c r="H36" s="31"/>
      <c r="I36" s="32"/>
      <c r="J36" s="58"/>
      <c r="S36" s="7"/>
      <c r="Y36" s="62"/>
      <c r="AC36" s="30"/>
      <c r="AF36" s="9"/>
      <c r="AG36" s="9"/>
    </row>
    <row r="37" spans="1:33" s="10" customFormat="1" ht="12" customHeight="1" x14ac:dyDescent="0.25">
      <c r="A37" s="24" t="s">
        <v>34</v>
      </c>
      <c r="B37" s="44">
        <f>3568420/1000</f>
        <v>3568.42</v>
      </c>
      <c r="C37" s="38">
        <v>20.124692990742492</v>
      </c>
      <c r="D37" s="59"/>
      <c r="E37" s="44">
        <f>4939792/1000</f>
        <v>4939.7920000000004</v>
      </c>
      <c r="F37" s="38">
        <v>21.280046084009406</v>
      </c>
      <c r="G37" s="59"/>
      <c r="H37" s="29">
        <f>6264025/1000</f>
        <v>6264.0249999999996</v>
      </c>
      <c r="I37" s="38">
        <v>18.144800608439315</v>
      </c>
      <c r="J37" s="59"/>
      <c r="S37" s="7"/>
      <c r="Y37" s="62"/>
      <c r="AC37" s="24"/>
      <c r="AF37" s="9"/>
      <c r="AG37" s="9"/>
    </row>
    <row r="38" spans="1:33" s="10" customFormat="1" ht="11.25" customHeight="1" x14ac:dyDescent="0.25">
      <c r="A38" s="30" t="s">
        <v>35</v>
      </c>
      <c r="B38" s="31">
        <f>553707/1000</f>
        <v>553.70699999999999</v>
      </c>
      <c r="C38" s="32">
        <v>3.1227219278630463</v>
      </c>
      <c r="D38" s="58"/>
      <c r="E38" s="31">
        <f>674337/1000</f>
        <v>674.33699999999999</v>
      </c>
      <c r="F38" s="32">
        <v>2.9049649127235821</v>
      </c>
      <c r="G38" s="58"/>
      <c r="H38" s="31">
        <f>1512659/1000</f>
        <v>1512.6590000000001</v>
      </c>
      <c r="I38" s="32">
        <v>4.3816708815116803</v>
      </c>
      <c r="J38" s="58"/>
      <c r="S38" s="7"/>
      <c r="Y38" s="62"/>
      <c r="AC38" s="30"/>
      <c r="AF38" s="9"/>
      <c r="AG38" s="9"/>
    </row>
    <row r="39" spans="1:33" s="10" customFormat="1" ht="11.25" customHeight="1" x14ac:dyDescent="0.25">
      <c r="A39" s="30" t="s">
        <v>36</v>
      </c>
      <c r="B39" s="31">
        <f>160879/1000</f>
        <v>160.87899999999999</v>
      </c>
      <c r="C39" s="32">
        <v>0.90730364801723473</v>
      </c>
      <c r="D39" s="58"/>
      <c r="E39" s="31">
        <f>334361/1000</f>
        <v>334.36099999999999</v>
      </c>
      <c r="F39" s="32">
        <v>1.440388074780369</v>
      </c>
      <c r="G39" s="58"/>
      <c r="H39" s="31">
        <f>434277/1000</f>
        <v>434.27699999999999</v>
      </c>
      <c r="I39" s="32">
        <v>1.2579562779253275</v>
      </c>
      <c r="J39" s="58"/>
      <c r="S39" s="7"/>
      <c r="Y39" s="62"/>
      <c r="AC39" s="30"/>
      <c r="AF39" s="9"/>
      <c r="AG39" s="9"/>
    </row>
    <row r="40" spans="1:33" s="10" customFormat="1" ht="11.25" customHeight="1" x14ac:dyDescent="0.25">
      <c r="A40" s="30" t="s">
        <v>37</v>
      </c>
      <c r="B40" s="31">
        <f>257784/1000</f>
        <v>257.78399999999999</v>
      </c>
      <c r="C40" s="32">
        <v>1.4538153742904596</v>
      </c>
      <c r="D40" s="58"/>
      <c r="E40" s="31">
        <f>300427/1000</f>
        <v>300.42700000000002</v>
      </c>
      <c r="F40" s="32">
        <v>1.2942043723461825</v>
      </c>
      <c r="G40" s="58"/>
      <c r="H40" s="31">
        <f>397042/1000</f>
        <v>397.04199999999997</v>
      </c>
      <c r="I40" s="32">
        <v>1.1500988458979589</v>
      </c>
      <c r="J40" s="58"/>
      <c r="S40" s="7"/>
      <c r="Y40" s="62"/>
      <c r="AC40" s="30"/>
      <c r="AF40" s="9"/>
      <c r="AG40" s="9"/>
    </row>
    <row r="41" spans="1:33" s="10" customFormat="1" ht="11.25" customHeight="1" x14ac:dyDescent="0.25">
      <c r="A41" s="30" t="s">
        <v>38</v>
      </c>
      <c r="B41" s="31">
        <f>223920/1000</f>
        <v>223.92</v>
      </c>
      <c r="C41" s="32">
        <v>1.2628337624178372</v>
      </c>
      <c r="D41" s="58"/>
      <c r="E41" s="31">
        <f>255598/1000</f>
        <v>255.59800000000001</v>
      </c>
      <c r="F41" s="32">
        <v>1.1010862843983382</v>
      </c>
      <c r="G41" s="58"/>
      <c r="H41" s="31">
        <f>347932/1000</f>
        <v>347.93200000000002</v>
      </c>
      <c r="I41" s="32">
        <v>1.007843481674404</v>
      </c>
      <c r="J41" s="58"/>
      <c r="S41" s="7"/>
      <c r="Y41" s="62"/>
      <c r="AC41" s="30"/>
      <c r="AF41" s="9"/>
      <c r="AG41" s="9"/>
    </row>
    <row r="42" spans="1:33" s="10" customFormat="1" ht="11.25" customHeight="1" x14ac:dyDescent="0.25">
      <c r="A42" s="30" t="s">
        <v>39</v>
      </c>
      <c r="B42" s="31">
        <f>354429/1000</f>
        <v>354.42899999999997</v>
      </c>
      <c r="C42" s="32">
        <v>1.9988607876919953</v>
      </c>
      <c r="D42" s="58"/>
      <c r="E42" s="31">
        <f>455743/1000</f>
        <v>455.74299999999999</v>
      </c>
      <c r="F42" s="32">
        <v>1.963287531633862</v>
      </c>
      <c r="G42" s="58"/>
      <c r="H42" s="31">
        <f>530683/1000</f>
        <v>530.68299999999999</v>
      </c>
      <c r="I42" s="32">
        <v>1.5372124506668476</v>
      </c>
      <c r="J42" s="58"/>
      <c r="S42" s="7"/>
      <c r="Y42" s="62"/>
      <c r="AC42" s="30"/>
      <c r="AF42" s="9"/>
      <c r="AG42" s="9"/>
    </row>
    <row r="43" spans="1:33" s="10" customFormat="1" ht="11.25" customHeight="1" x14ac:dyDescent="0.25">
      <c r="A43" s="30" t="s">
        <v>40</v>
      </c>
      <c r="B43" s="31">
        <f>540452/1000</f>
        <v>540.452</v>
      </c>
      <c r="C43" s="32">
        <v>3.0479681697313543</v>
      </c>
      <c r="D43" s="58"/>
      <c r="E43" s="31">
        <f>744480/1000</f>
        <v>744.48</v>
      </c>
      <c r="F43" s="32">
        <v>3.2071327514647017</v>
      </c>
      <c r="G43" s="58"/>
      <c r="H43" s="31">
        <f>417780/1000</f>
        <v>417.78</v>
      </c>
      <c r="I43" s="32">
        <v>1.2101699463513917</v>
      </c>
      <c r="J43" s="58"/>
      <c r="S43" s="7"/>
      <c r="Y43" s="62"/>
      <c r="AC43" s="30"/>
      <c r="AF43" s="9"/>
      <c r="AG43" s="9"/>
    </row>
    <row r="44" spans="1:33" s="10" customFormat="1" ht="11.25" customHeight="1" x14ac:dyDescent="0.25">
      <c r="A44" s="30" t="s">
        <v>41</v>
      </c>
      <c r="B44" s="31">
        <f>750094/1000</f>
        <v>750.09400000000005</v>
      </c>
      <c r="C44" s="32">
        <v>4.2302787968338924</v>
      </c>
      <c r="D44" s="58"/>
      <c r="E44" s="31">
        <f>1334834/1000</f>
        <v>1334.8340000000001</v>
      </c>
      <c r="F44" s="32">
        <v>5.7503087244366995</v>
      </c>
      <c r="G44" s="58"/>
      <c r="H44" s="31">
        <f>1636838/1000</f>
        <v>1636.838</v>
      </c>
      <c r="I44" s="32">
        <v>4.7413762139066478</v>
      </c>
      <c r="J44" s="58"/>
      <c r="S44" s="7"/>
      <c r="Y44" s="62"/>
      <c r="AC44" s="30"/>
      <c r="AF44" s="9"/>
      <c r="AG44" s="9"/>
    </row>
    <row r="45" spans="1:33" s="10" customFormat="1" ht="11.25" customHeight="1" x14ac:dyDescent="0.25">
      <c r="A45" s="30" t="s">
        <v>42</v>
      </c>
      <c r="B45" s="31">
        <f>727155/1000</f>
        <v>727.15499999999997</v>
      </c>
      <c r="C45" s="32">
        <v>4.1009105238966699</v>
      </c>
      <c r="D45" s="58"/>
      <c r="E45" s="31">
        <f>840012/1000</f>
        <v>840.01199999999994</v>
      </c>
      <c r="F45" s="32">
        <v>3.6186734322256706</v>
      </c>
      <c r="G45" s="58"/>
      <c r="H45" s="31">
        <f>986814/1000</f>
        <v>986.81399999999996</v>
      </c>
      <c r="I45" s="32">
        <v>2.8584725105050559</v>
      </c>
      <c r="J45" s="58"/>
      <c r="S45" s="7"/>
      <c r="Y45" s="62"/>
      <c r="AC45" s="30"/>
      <c r="AF45" s="9"/>
      <c r="AG45" s="9"/>
    </row>
    <row r="46" spans="1:33" s="10" customFormat="1" ht="13.5" x14ac:dyDescent="0.25">
      <c r="A46" s="24" t="s">
        <v>43</v>
      </c>
      <c r="B46" s="44">
        <f>SUM(B47:B50)/1000</f>
        <v>1.6665840000000001</v>
      </c>
      <c r="C46" s="38">
        <f t="shared" ref="C46:I46" si="1">SUM(C47:C50)</f>
        <v>9.3989752728892846</v>
      </c>
      <c r="D46" s="59"/>
      <c r="E46" s="44">
        <f t="shared" si="1"/>
        <v>2336.4930000000004</v>
      </c>
      <c r="F46" s="38">
        <f t="shared" si="1"/>
        <v>10.065338523355921</v>
      </c>
      <c r="G46" s="59"/>
      <c r="H46" s="44">
        <f t="shared" si="1"/>
        <v>3583.902</v>
      </c>
      <c r="I46" s="38">
        <f t="shared" si="1"/>
        <v>10.381374146844381</v>
      </c>
      <c r="J46" s="59"/>
      <c r="S46" s="7"/>
      <c r="Y46" s="62"/>
      <c r="AC46" s="24"/>
      <c r="AF46" s="9"/>
      <c r="AG46" s="9"/>
    </row>
    <row r="47" spans="1:33" s="10" customFormat="1" ht="11.25" customHeight="1" x14ac:dyDescent="0.25">
      <c r="A47" s="30" t="s">
        <v>44</v>
      </c>
      <c r="B47" s="31">
        <f>687503/1000</f>
        <v>687.50300000000004</v>
      </c>
      <c r="C47" s="32">
        <v>3.8772865316342902</v>
      </c>
      <c r="D47" s="58"/>
      <c r="E47" s="31">
        <f>996673/1000</f>
        <v>996.673</v>
      </c>
      <c r="F47" s="32">
        <v>4.2935506941765782</v>
      </c>
      <c r="G47" s="58"/>
      <c r="H47" s="31">
        <f>1604242/1000</f>
        <v>1604.242</v>
      </c>
      <c r="I47" s="32">
        <v>4.6469564246125934</v>
      </c>
      <c r="J47" s="58"/>
      <c r="S47" s="7"/>
      <c r="Y47" s="62"/>
      <c r="AC47" s="30"/>
      <c r="AF47" s="9"/>
      <c r="AG47" s="9"/>
    </row>
    <row r="48" spans="1:33" s="10" customFormat="1" ht="11.25" customHeight="1" x14ac:dyDescent="0.25">
      <c r="A48" s="30" t="s">
        <v>45</v>
      </c>
      <c r="B48" s="31">
        <f>147562/1000</f>
        <v>147.56200000000001</v>
      </c>
      <c r="C48" s="32">
        <v>0.83220023066229409</v>
      </c>
      <c r="D48" s="58"/>
      <c r="E48" s="31">
        <f>179937/1000</f>
        <v>179.93700000000001</v>
      </c>
      <c r="F48" s="32">
        <v>0.7751475471474103</v>
      </c>
      <c r="G48" s="58"/>
      <c r="H48" s="31">
        <f>328520/1000</f>
        <v>328.52</v>
      </c>
      <c r="I48" s="32">
        <v>0.95161336295504628</v>
      </c>
      <c r="J48" s="58"/>
      <c r="S48" s="7"/>
      <c r="Y48" s="62"/>
      <c r="AC48" s="30"/>
      <c r="AF48" s="9"/>
      <c r="AG48" s="9"/>
    </row>
    <row r="49" spans="1:33" s="10" customFormat="1" ht="11.25" customHeight="1" x14ac:dyDescent="0.25">
      <c r="A49" s="30" t="s">
        <v>46</v>
      </c>
      <c r="B49" s="31">
        <f>232356/1000</f>
        <v>232.35599999999999</v>
      </c>
      <c r="C49" s="32">
        <v>1.3104099754392595</v>
      </c>
      <c r="D49" s="58"/>
      <c r="E49" s="31">
        <f>449989/1000</f>
        <v>449.98899999999998</v>
      </c>
      <c r="F49" s="32">
        <v>1.9384999727311003</v>
      </c>
      <c r="G49" s="58"/>
      <c r="H49" s="31">
        <f>589956/1000</f>
        <v>589.95600000000002</v>
      </c>
      <c r="I49" s="32">
        <v>1.7089066515143896</v>
      </c>
      <c r="J49" s="58"/>
      <c r="S49" s="7"/>
      <c r="Y49" s="62"/>
      <c r="AC49" s="30"/>
      <c r="AF49" s="9"/>
      <c r="AG49" s="9"/>
    </row>
    <row r="50" spans="1:33" s="10" customFormat="1" ht="11.25" customHeight="1" x14ac:dyDescent="0.25">
      <c r="A50" s="30" t="s">
        <v>47</v>
      </c>
      <c r="B50" s="31">
        <f>599163/1000</f>
        <v>599.16300000000001</v>
      </c>
      <c r="C50" s="32">
        <v>3.3790785351534409</v>
      </c>
      <c r="D50" s="58"/>
      <c r="E50" s="31">
        <f>709894/1000</f>
        <v>709.89400000000001</v>
      </c>
      <c r="F50" s="32">
        <v>3.0581403093008315</v>
      </c>
      <c r="G50" s="58"/>
      <c r="H50" s="31">
        <f>1061184/1000</f>
        <v>1061.184</v>
      </c>
      <c r="I50" s="32">
        <v>3.0738977077623519</v>
      </c>
      <c r="J50" s="58"/>
      <c r="S50" s="7"/>
      <c r="Y50" s="62"/>
      <c r="AC50" s="30"/>
      <c r="AF50" s="9"/>
      <c r="AG50" s="9"/>
    </row>
    <row r="51" spans="1:33" s="10" customFormat="1" ht="2.25" customHeight="1" x14ac:dyDescent="0.25">
      <c r="A51" s="30"/>
      <c r="B51" s="31"/>
      <c r="C51" s="32"/>
      <c r="D51" s="58"/>
      <c r="E51" s="31"/>
      <c r="F51" s="32"/>
      <c r="G51" s="58"/>
      <c r="H51" s="31"/>
      <c r="I51" s="32"/>
      <c r="J51" s="58"/>
      <c r="S51" s="7"/>
      <c r="Y51" s="62"/>
      <c r="AC51" s="30"/>
      <c r="AF51" s="9"/>
      <c r="AG51" s="9"/>
    </row>
    <row r="52" spans="1:33" s="10" customFormat="1" ht="13.5" x14ac:dyDescent="0.25">
      <c r="A52" s="24" t="s">
        <v>48</v>
      </c>
      <c r="B52" s="44">
        <f>1523154/1000</f>
        <v>1523.154</v>
      </c>
      <c r="C52" s="38">
        <v>8.5900781375570663</v>
      </c>
      <c r="D52" s="59"/>
      <c r="E52" s="44">
        <f>1969514/1000</f>
        <v>1969.5139999999999</v>
      </c>
      <c r="F52" s="38">
        <v>8.484435920196983</v>
      </c>
      <c r="G52" s="59"/>
      <c r="H52" s="29">
        <f>3014847/1000</f>
        <v>3014.8470000000002</v>
      </c>
      <c r="I52" s="38">
        <v>8.7330107526632546</v>
      </c>
      <c r="J52" s="59"/>
      <c r="S52" s="7"/>
      <c r="Y52" s="62"/>
      <c r="AC52" s="24"/>
      <c r="AF52" s="9"/>
      <c r="AG52" s="9"/>
    </row>
    <row r="53" spans="1:33" s="10" customFormat="1" ht="11.25" customHeight="1" x14ac:dyDescent="0.25">
      <c r="A53" s="30" t="s">
        <v>49</v>
      </c>
      <c r="B53" s="31">
        <f>1462198/1000</f>
        <v>1462.1980000000001</v>
      </c>
      <c r="C53" s="32">
        <v>8.246306724454433</v>
      </c>
      <c r="D53" s="58"/>
      <c r="E53" s="31">
        <f>1907986/1000</f>
        <v>1907.9860000000001</v>
      </c>
      <c r="F53" s="32">
        <v>8.2193804936816726</v>
      </c>
      <c r="G53" s="58"/>
      <c r="H53" s="31">
        <f>2952492/1000</f>
        <v>2952.4920000000002</v>
      </c>
      <c r="I53" s="32">
        <v>8.5523890211185627</v>
      </c>
      <c r="J53" s="58"/>
      <c r="S53" s="7"/>
      <c r="Y53" s="62"/>
      <c r="AC53" s="30"/>
      <c r="AF53" s="9"/>
      <c r="AG53" s="9"/>
    </row>
    <row r="54" spans="1:33" s="10" customFormat="1" ht="11.25" customHeight="1" x14ac:dyDescent="0.25">
      <c r="A54" s="30" t="s">
        <v>50</v>
      </c>
      <c r="B54" s="31">
        <v>0.60899999999999999</v>
      </c>
      <c r="C54" s="32">
        <v>3.4345559186873113E-3</v>
      </c>
      <c r="D54" s="58"/>
      <c r="E54" s="31">
        <v>1.181</v>
      </c>
      <c r="F54" s="32">
        <v>5.0876098477861224E-3</v>
      </c>
      <c r="G54" s="58"/>
      <c r="H54" s="31">
        <v>2.008</v>
      </c>
      <c r="I54" s="32">
        <v>5.8165092926267285E-3</v>
      </c>
      <c r="J54" s="58"/>
      <c r="S54" s="7"/>
      <c r="Y54" s="62"/>
      <c r="AC54" s="30"/>
      <c r="AF54" s="9"/>
      <c r="AG54" s="9"/>
    </row>
    <row r="55" spans="1:33" s="10" customFormat="1" ht="11.25" customHeight="1" x14ac:dyDescent="0.25">
      <c r="A55" s="30" t="s">
        <v>51</v>
      </c>
      <c r="B55" s="31">
        <f>60347/1000</f>
        <v>60.347000000000001</v>
      </c>
      <c r="C55" s="32">
        <v>0.34033685718394613</v>
      </c>
      <c r="D55" s="58"/>
      <c r="E55" s="31">
        <f>60347/1000</f>
        <v>60.347000000000001</v>
      </c>
      <c r="F55" s="32">
        <v>0.25996781666752677</v>
      </c>
      <c r="G55" s="58"/>
      <c r="H55" s="31">
        <f>60347/1000</f>
        <v>60.347000000000001</v>
      </c>
      <c r="I55" s="32">
        <v>0.17480522225206432</v>
      </c>
      <c r="J55" s="58"/>
      <c r="S55" s="7"/>
      <c r="Y55" s="62"/>
      <c r="AC55" s="30"/>
      <c r="AF55" s="9"/>
      <c r="AG55" s="9"/>
    </row>
    <row r="56" spans="1:33" s="10" customFormat="1" ht="13.5" x14ac:dyDescent="0.25">
      <c r="A56" s="24" t="s">
        <v>52</v>
      </c>
      <c r="B56" s="48">
        <f>16703746/1000</f>
        <v>16703.745999999999</v>
      </c>
      <c r="C56" s="22">
        <v>99.999999999999986</v>
      </c>
      <c r="D56" s="22"/>
      <c r="E56" s="48">
        <f>21275351/1000</f>
        <v>21275.350999999999</v>
      </c>
      <c r="F56" s="22">
        <v>100</v>
      </c>
      <c r="G56" s="22"/>
      <c r="H56" s="48">
        <f>37924334/1000</f>
        <v>37924.334000000003</v>
      </c>
      <c r="I56" s="49">
        <v>100.00000000000001</v>
      </c>
      <c r="J56" s="19"/>
      <c r="S56" s="19"/>
      <c r="Y56" s="63"/>
      <c r="AC56" s="24"/>
      <c r="AF56" s="47"/>
      <c r="AG56" s="47"/>
    </row>
    <row r="57" spans="1:33" s="10" customFormat="1" ht="11.25" customHeight="1" x14ac:dyDescent="0.25">
      <c r="A57" s="30" t="s">
        <v>53</v>
      </c>
      <c r="B57" s="45">
        <f>4173312/1000</f>
        <v>4173.3119999999999</v>
      </c>
      <c r="C57" s="32">
        <v>24.98428795552806</v>
      </c>
      <c r="D57" s="58"/>
      <c r="E57" s="31">
        <f>5749280/1000</f>
        <v>5749.28</v>
      </c>
      <c r="F57" s="32">
        <v>27.023196938090472</v>
      </c>
      <c r="G57" s="58"/>
      <c r="H57" s="31">
        <f>9247427/1000</f>
        <v>9247.4269999999997</v>
      </c>
      <c r="I57" s="32">
        <v>24.383887664316003</v>
      </c>
      <c r="J57" s="34"/>
      <c r="S57" s="50"/>
      <c r="Y57" s="63"/>
      <c r="AC57" s="30"/>
      <c r="AF57" s="47"/>
      <c r="AG57" s="47"/>
    </row>
    <row r="58" spans="1:33" s="10" customFormat="1" ht="11.25" customHeight="1" x14ac:dyDescent="0.25">
      <c r="A58" s="30" t="s">
        <v>54</v>
      </c>
      <c r="B58" s="45">
        <f>1875856/1000</f>
        <v>1875.856</v>
      </c>
      <c r="C58" s="32">
        <v>11.230151607908789</v>
      </c>
      <c r="D58" s="58"/>
      <c r="E58" s="31">
        <f>2288103/1000</f>
        <v>2288.1030000000001</v>
      </c>
      <c r="F58" s="32">
        <v>10.754713282991196</v>
      </c>
      <c r="G58" s="58"/>
      <c r="H58" s="31">
        <f>5239675/1000</f>
        <v>5239.6750000000002</v>
      </c>
      <c r="I58" s="32">
        <v>13.8161292430343</v>
      </c>
      <c r="J58" s="34"/>
      <c r="S58" s="50"/>
      <c r="Y58" s="63"/>
      <c r="AC58" s="30"/>
      <c r="AF58" s="47"/>
      <c r="AG58" s="47"/>
    </row>
    <row r="59" spans="1:33" s="10" customFormat="1" ht="11.25" customHeight="1" x14ac:dyDescent="0.25">
      <c r="A59" s="30" t="s">
        <v>55</v>
      </c>
      <c r="B59" s="45">
        <f>79808/1000</f>
        <v>79.808000000000007</v>
      </c>
      <c r="C59" s="32">
        <v>0.47778504294785135</v>
      </c>
      <c r="D59" s="58"/>
      <c r="E59" s="31">
        <f>94959/1000</f>
        <v>94.959000000000003</v>
      </c>
      <c r="F59" s="32">
        <v>0.44633341184359304</v>
      </c>
      <c r="G59" s="58"/>
      <c r="H59" s="31">
        <f>159288/1000</f>
        <v>159.28800000000001</v>
      </c>
      <c r="I59" s="32">
        <v>0.42001528622757095</v>
      </c>
      <c r="J59" s="34"/>
      <c r="S59" s="50"/>
      <c r="Y59" s="63"/>
      <c r="AC59" s="30"/>
      <c r="AF59" s="47"/>
      <c r="AG59" s="47"/>
    </row>
    <row r="60" spans="1:33" s="10" customFormat="1" ht="11.25" customHeight="1" x14ac:dyDescent="0.25">
      <c r="A60" s="30" t="s">
        <v>56</v>
      </c>
      <c r="B60" s="45">
        <f>5088367/1000</f>
        <v>5088.3670000000002</v>
      </c>
      <c r="C60" s="32">
        <v>30.462430403335873</v>
      </c>
      <c r="D60" s="58"/>
      <c r="E60" s="31">
        <f>5697726/1000</f>
        <v>5697.7259999999997</v>
      </c>
      <c r="F60" s="32">
        <v>26.7808789617619</v>
      </c>
      <c r="G60" s="58"/>
      <c r="H60" s="31">
        <f>11677377/1000</f>
        <v>11677.377</v>
      </c>
      <c r="I60" s="32">
        <v>30.791251337465809</v>
      </c>
      <c r="J60" s="34"/>
      <c r="S60" s="50"/>
      <c r="Y60" s="63"/>
      <c r="AC60" s="30"/>
      <c r="AF60" s="47"/>
      <c r="AG60" s="47"/>
    </row>
    <row r="61" spans="1:33" s="10" customFormat="1" ht="11.25" customHeight="1" x14ac:dyDescent="0.25">
      <c r="A61" s="30" t="s">
        <v>57</v>
      </c>
      <c r="B61" s="45">
        <f>4072137/1000</f>
        <v>4072.1370000000002</v>
      </c>
      <c r="C61" s="32">
        <v>24.378585498127187</v>
      </c>
      <c r="D61" s="58"/>
      <c r="E61" s="31">
        <f>5445593/1000</f>
        <v>5445.5929999999998</v>
      </c>
      <c r="F61" s="32">
        <v>25.595784530182371</v>
      </c>
      <c r="G61" s="58"/>
      <c r="H61" s="31">
        <f>8177823/1000</f>
        <v>8177.8230000000003</v>
      </c>
      <c r="I61" s="32">
        <v>21.563524358792961</v>
      </c>
      <c r="J61" s="34"/>
      <c r="S61" s="50"/>
      <c r="Y61" s="63"/>
      <c r="AC61" s="30"/>
      <c r="AF61" s="47"/>
      <c r="AG61" s="47"/>
    </row>
    <row r="62" spans="1:33" s="10" customFormat="1" ht="11.25" customHeight="1" x14ac:dyDescent="0.25">
      <c r="A62" s="30" t="s">
        <v>58</v>
      </c>
      <c r="B62" s="45">
        <f>1375082/1000</f>
        <v>1375.0820000000001</v>
      </c>
      <c r="C62" s="32">
        <v>8.2321773810497358</v>
      </c>
      <c r="D62" s="58"/>
      <c r="E62" s="31">
        <f>1949422/1000</f>
        <v>1949.422</v>
      </c>
      <c r="F62" s="32">
        <v>9.1628194524264259</v>
      </c>
      <c r="G62" s="58"/>
      <c r="H62" s="31">
        <f>3379866/1000</f>
        <v>3379.866</v>
      </c>
      <c r="I62" s="32">
        <v>8.9121301378687363</v>
      </c>
      <c r="J62" s="34"/>
      <c r="S62" s="50"/>
      <c r="Y62" s="63"/>
      <c r="AC62" s="30"/>
      <c r="AF62" s="47"/>
      <c r="AG62" s="47"/>
    </row>
    <row r="63" spans="1:33" s="10" customFormat="1" ht="11.25" customHeight="1" x14ac:dyDescent="0.25">
      <c r="A63" s="30" t="s">
        <v>59</v>
      </c>
      <c r="B63" s="45">
        <v>27.588000000000001</v>
      </c>
      <c r="C63" s="32">
        <v>0.1651605573983225</v>
      </c>
      <c r="D63" s="58"/>
      <c r="E63" s="31">
        <f>44694/1000</f>
        <v>44.694000000000003</v>
      </c>
      <c r="F63" s="32">
        <v>0.21007408996448518</v>
      </c>
      <c r="G63" s="58"/>
      <c r="H63" s="31">
        <f>38539/1000</f>
        <v>38.539000000000001</v>
      </c>
      <c r="I63" s="32">
        <v>0.10162076939834988</v>
      </c>
      <c r="J63" s="34"/>
      <c r="S63" s="51"/>
      <c r="Y63" s="63"/>
      <c r="AC63" s="30"/>
      <c r="AF63" s="47"/>
      <c r="AG63" s="47"/>
    </row>
    <row r="64" spans="1:33" s="10" customFormat="1" ht="11.25" customHeight="1" x14ac:dyDescent="0.25">
      <c r="A64" s="30" t="s">
        <v>60</v>
      </c>
      <c r="B64" s="45">
        <v>11.596</v>
      </c>
      <c r="C64" s="32">
        <v>6.9421553704181085E-2</v>
      </c>
      <c r="D64" s="58"/>
      <c r="E64" s="31">
        <v>5.5739999999999998</v>
      </c>
      <c r="F64" s="32">
        <v>2.619933273956326E-2</v>
      </c>
      <c r="G64" s="58"/>
      <c r="H64" s="31">
        <v>4.3390000000000004</v>
      </c>
      <c r="I64" s="32">
        <v>1.1441202896272351E-2</v>
      </c>
      <c r="J64" s="34"/>
      <c r="S64" s="51"/>
      <c r="Y64" s="63"/>
      <c r="AC64" s="30"/>
      <c r="AF64" s="47"/>
      <c r="AG64" s="47"/>
    </row>
    <row r="65" spans="1:50" s="10" customFormat="1" ht="25.5" customHeight="1" x14ac:dyDescent="0.25">
      <c r="A65" s="37" t="s">
        <v>61</v>
      </c>
      <c r="B65" s="48">
        <f>961847/1000</f>
        <v>961.84699999999998</v>
      </c>
      <c r="C65" s="22">
        <v>100</v>
      </c>
      <c r="D65" s="22"/>
      <c r="E65" s="48">
        <f>975798/1000</f>
        <v>975.798</v>
      </c>
      <c r="F65" s="22">
        <v>100.00000000000001</v>
      </c>
      <c r="G65" s="22"/>
      <c r="H65" s="48">
        <f>1460416/1000</f>
        <v>1460.4159999999999</v>
      </c>
      <c r="I65" s="49">
        <v>100</v>
      </c>
      <c r="J65" s="19"/>
      <c r="S65" s="19"/>
      <c r="Y65" s="63"/>
      <c r="AC65" s="37"/>
      <c r="AF65" s="47"/>
      <c r="AG65" s="47"/>
    </row>
    <row r="66" spans="1:50" s="10" customFormat="1" ht="11.25" customHeight="1" x14ac:dyDescent="0.25">
      <c r="A66" s="30" t="s">
        <v>62</v>
      </c>
      <c r="B66" s="45">
        <f>287608/1000</f>
        <v>287.608</v>
      </c>
      <c r="C66" s="32">
        <v>29.901637162667242</v>
      </c>
      <c r="D66" s="58"/>
      <c r="E66" s="31">
        <f>282081/1000</f>
        <v>282.08100000000002</v>
      </c>
      <c r="F66" s="32">
        <v>28.907724754508617</v>
      </c>
      <c r="G66" s="58"/>
      <c r="H66" s="31">
        <f>321008/1000</f>
        <v>321.00799999999998</v>
      </c>
      <c r="I66" s="32">
        <v>21.980586353477367</v>
      </c>
      <c r="J66" s="63"/>
      <c r="S66" s="51"/>
      <c r="Y66" s="63"/>
      <c r="AC66" s="30"/>
      <c r="AF66" s="47"/>
      <c r="AG66" s="47"/>
    </row>
    <row r="67" spans="1:50" s="10" customFormat="1" ht="11.25" customHeight="1" x14ac:dyDescent="0.25">
      <c r="A67" s="30" t="s">
        <v>63</v>
      </c>
      <c r="B67" s="45">
        <f>674239/1000</f>
        <v>674.23900000000003</v>
      </c>
      <c r="C67" s="32">
        <v>70.098362837332758</v>
      </c>
      <c r="D67" s="58"/>
      <c r="E67" s="31">
        <f>693717/1000</f>
        <v>693.71699999999998</v>
      </c>
      <c r="F67" s="32">
        <v>71.092275245491393</v>
      </c>
      <c r="G67" s="58"/>
      <c r="H67" s="31">
        <f>1139408/1000</f>
        <v>1139.4079999999999</v>
      </c>
      <c r="I67" s="32">
        <v>78.019413646522636</v>
      </c>
      <c r="J67" s="63"/>
      <c r="K67" s="7"/>
      <c r="L67" s="7"/>
      <c r="M67" s="7"/>
      <c r="N67" s="7"/>
      <c r="O67" s="7"/>
      <c r="P67" s="7"/>
      <c r="Q67" s="7"/>
      <c r="R67" s="7"/>
      <c r="S67" s="51"/>
      <c r="T67" s="7"/>
      <c r="U67" s="7"/>
      <c r="V67" s="7"/>
      <c r="W67" s="7"/>
      <c r="X67" s="7"/>
      <c r="Y67" s="63"/>
      <c r="Z67" s="7"/>
      <c r="AA67" s="7"/>
      <c r="AB67" s="7"/>
      <c r="AC67" s="20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s="10" customFormat="1" ht="1.5" customHeight="1" x14ac:dyDescent="0.25">
      <c r="A68" s="66"/>
      <c r="B68" s="67"/>
      <c r="C68" s="68"/>
      <c r="D68" s="67"/>
      <c r="E68" s="69"/>
      <c r="F68" s="70"/>
      <c r="G68" s="69"/>
      <c r="H68" s="69"/>
      <c r="I68" s="70"/>
      <c r="J68" s="34"/>
      <c r="K68" s="81"/>
      <c r="L68" s="34"/>
      <c r="M68" s="20"/>
      <c r="N68" s="63"/>
      <c r="O68" s="85"/>
      <c r="P68" s="85"/>
      <c r="Q68" s="63"/>
      <c r="R68" s="86"/>
      <c r="S68" s="7"/>
      <c r="T68" s="7"/>
      <c r="U68" s="7"/>
      <c r="V68" s="7"/>
      <c r="W68" s="7"/>
      <c r="X68" s="8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s="4" customFormat="1" x14ac:dyDescent="0.25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</row>
    <row r="70" spans="1:50" s="4" customFormat="1" x14ac:dyDescent="0.25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</row>
    <row r="71" spans="1:50" s="4" customFormat="1" x14ac:dyDescent="0.2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</row>
    <row r="72" spans="1:50" x14ac:dyDescent="0.25">
      <c r="A72" s="1"/>
      <c r="B72" s="1"/>
      <c r="C72" s="2"/>
      <c r="E72" s="1"/>
      <c r="F72" s="1"/>
      <c r="H72" s="1"/>
      <c r="I72" s="79" t="s">
        <v>64</v>
      </c>
      <c r="K72" s="1"/>
      <c r="L72" s="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5.75" x14ac:dyDescent="0.25">
      <c r="A73" s="383" t="s">
        <v>1</v>
      </c>
      <c r="B73" s="383"/>
      <c r="C73" s="383"/>
      <c r="D73" s="383"/>
      <c r="E73" s="383"/>
      <c r="F73" s="383"/>
      <c r="G73" s="383"/>
      <c r="H73" s="383"/>
      <c r="I73" s="383"/>
      <c r="K73" s="1"/>
      <c r="L73" s="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29.25" customHeight="1" x14ac:dyDescent="0.25">
      <c r="A74" s="386" t="s">
        <v>2</v>
      </c>
      <c r="B74" s="386"/>
      <c r="C74" s="386"/>
      <c r="D74" s="386"/>
      <c r="E74" s="386"/>
      <c r="F74" s="386"/>
      <c r="G74" s="386"/>
      <c r="H74" s="386"/>
      <c r="I74" s="386"/>
      <c r="K74" s="1"/>
      <c r="L74" s="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s="4" customFormat="1" ht="5.25" customHeight="1" x14ac:dyDescent="0.2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</row>
    <row r="76" spans="1:50" ht="12.75" customHeight="1" thickBot="1" x14ac:dyDescent="0.3">
      <c r="A76" s="385" t="s">
        <v>3</v>
      </c>
      <c r="B76" s="384">
        <v>2005</v>
      </c>
      <c r="C76" s="384"/>
      <c r="E76" s="384">
        <v>2006</v>
      </c>
      <c r="F76" s="384"/>
      <c r="G76" s="378"/>
      <c r="H76" s="384">
        <v>2007</v>
      </c>
      <c r="I76" s="384"/>
      <c r="K76" s="1"/>
      <c r="L76" s="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26.25" customHeight="1" x14ac:dyDescent="0.25">
      <c r="A77" s="385"/>
      <c r="B77" s="64" t="s">
        <v>4</v>
      </c>
      <c r="C77" s="64" t="s">
        <v>5</v>
      </c>
      <c r="E77" s="64" t="s">
        <v>4</v>
      </c>
      <c r="F77" s="64" t="s">
        <v>5</v>
      </c>
      <c r="G77" s="76"/>
      <c r="H77" s="64" t="s">
        <v>4</v>
      </c>
      <c r="I77" s="64" t="s">
        <v>5</v>
      </c>
      <c r="K77" s="1"/>
      <c r="L77" s="1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x14ac:dyDescent="0.25">
      <c r="A78" s="13" t="s">
        <v>6</v>
      </c>
      <c r="B78" s="14">
        <f>83203698/1000</f>
        <v>83203.698000000004</v>
      </c>
      <c r="C78" s="16"/>
      <c r="E78" s="14">
        <f>93360353/1000</f>
        <v>93360.353000000003</v>
      </c>
      <c r="F78" s="16"/>
      <c r="G78" s="17"/>
      <c r="H78" s="14">
        <f>H79+H134+H144</f>
        <v>119732.91884499496</v>
      </c>
      <c r="I78" s="16"/>
      <c r="K78" s="1"/>
      <c r="L78" s="89"/>
      <c r="M78" s="9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2.75" customHeight="1" x14ac:dyDescent="0.25">
      <c r="A79" s="18" t="s">
        <v>7</v>
      </c>
      <c r="B79" s="19">
        <f>36873659/1000</f>
        <v>36873.659</v>
      </c>
      <c r="C79" s="22">
        <v>99.999999999999986</v>
      </c>
      <c r="E79" s="19">
        <f>43881868/1000</f>
        <v>43881.868000000002</v>
      </c>
      <c r="F79" s="22">
        <v>100</v>
      </c>
      <c r="G79" s="22"/>
      <c r="H79" s="19">
        <f>H80+H84+H90+H95+H99+H109+H120+H127</f>
        <v>61308.767639678386</v>
      </c>
      <c r="I79" s="22">
        <f>I80+I84+I90+I95+I99+I109+I120+I127</f>
        <v>100</v>
      </c>
      <c r="K79" s="1"/>
      <c r="L79" s="1"/>
      <c r="M79" s="9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2" customHeight="1" x14ac:dyDescent="0.25">
      <c r="A80" s="24" t="s">
        <v>8</v>
      </c>
      <c r="B80" s="27">
        <f>9475596/1000</f>
        <v>9475.5959999999995</v>
      </c>
      <c r="C80" s="25">
        <v>25.697466042087118</v>
      </c>
      <c r="E80" s="27">
        <f>10158551/1000</f>
        <v>10158.550999999999</v>
      </c>
      <c r="F80" s="25">
        <v>23.149768829348833</v>
      </c>
      <c r="G80" s="26"/>
      <c r="H80" s="27">
        <f>H81+H82+H83</f>
        <v>12417.453492867033</v>
      </c>
      <c r="I80" s="25">
        <f>H80/H79*100</f>
        <v>20.253960356610705</v>
      </c>
      <c r="K80" s="95"/>
      <c r="L80" s="1"/>
      <c r="M80" s="9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1.25" customHeight="1" x14ac:dyDescent="0.25">
      <c r="A81" s="30" t="s">
        <v>9</v>
      </c>
      <c r="B81" s="33">
        <f>9137761/1000</f>
        <v>9137.7610000000004</v>
      </c>
      <c r="C81" s="32">
        <v>24.781270011744699</v>
      </c>
      <c r="E81" s="33">
        <f>9821160/1000</f>
        <v>9821.16</v>
      </c>
      <c r="F81" s="32">
        <v>22.380906847447786</v>
      </c>
      <c r="G81" s="58"/>
      <c r="H81" s="33">
        <v>12098.771203001821</v>
      </c>
      <c r="I81" s="32">
        <f>H81/H79*100</f>
        <v>19.73416147280642</v>
      </c>
      <c r="K81" s="1"/>
      <c r="L81" s="1"/>
      <c r="M81" s="9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1.25" customHeight="1" x14ac:dyDescent="0.25">
      <c r="A82" s="30" t="s">
        <v>10</v>
      </c>
      <c r="B82" s="36">
        <f>337835/1000</f>
        <v>337.83499999999998</v>
      </c>
      <c r="C82" s="32">
        <v>0.9161960303424187</v>
      </c>
      <c r="E82" s="31">
        <f>337391/1000</f>
        <v>337.39100000000002</v>
      </c>
      <c r="F82" s="32">
        <v>0.76886198190104393</v>
      </c>
      <c r="G82" s="58"/>
      <c r="H82" s="36">
        <v>301.41835786521199</v>
      </c>
      <c r="I82" s="32">
        <f>H82/H79*100</f>
        <v>0.49163989013234904</v>
      </c>
      <c r="K82" s="1"/>
      <c r="L82" s="1"/>
      <c r="M82" s="9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1.25" customHeight="1" x14ac:dyDescent="0.25">
      <c r="A83" s="30" t="s">
        <v>65</v>
      </c>
      <c r="B83" s="36"/>
      <c r="C83" s="32"/>
      <c r="E83" s="31"/>
      <c r="F83" s="32"/>
      <c r="G83" s="58"/>
      <c r="H83" s="36">
        <v>17.263932</v>
      </c>
      <c r="I83" s="32">
        <f>H83/H79*100</f>
        <v>2.8158993671937659E-2</v>
      </c>
      <c r="K83" s="1"/>
      <c r="L83" s="1"/>
      <c r="M83" s="9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24.75" customHeight="1" x14ac:dyDescent="0.25">
      <c r="A84" s="37" t="s">
        <v>11</v>
      </c>
      <c r="B84" s="21">
        <f>8222756/1000</f>
        <v>8222.7559999999994</v>
      </c>
      <c r="C84" s="38">
        <v>22.299810279202291</v>
      </c>
      <c r="E84" s="21">
        <f>10402276/1000</f>
        <v>10402.276</v>
      </c>
      <c r="F84" s="38">
        <v>23.705180463147101</v>
      </c>
      <c r="G84" s="59"/>
      <c r="H84" s="23">
        <f>H85+H86+H87+H88</f>
        <v>10803.482295554688</v>
      </c>
      <c r="I84" s="38">
        <f>H84/H79*100</f>
        <v>17.621431177753422</v>
      </c>
      <c r="K84" s="1"/>
      <c r="L84" s="1"/>
      <c r="M84" s="9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1.25" customHeight="1" x14ac:dyDescent="0.25">
      <c r="A85" s="30" t="s">
        <v>12</v>
      </c>
      <c r="B85" s="39">
        <f>3713156/1000</f>
        <v>3713.1559999999999</v>
      </c>
      <c r="C85" s="32">
        <v>10.069941797747818</v>
      </c>
      <c r="E85" s="31">
        <f>4713124/1000</f>
        <v>4713.1239999999998</v>
      </c>
      <c r="F85" s="32">
        <v>10.740481695081895</v>
      </c>
      <c r="G85" s="58"/>
      <c r="H85" s="33">
        <v>4832.9120000000003</v>
      </c>
      <c r="I85" s="32">
        <f>H85/$H$79*100</f>
        <v>7.8829051472765057</v>
      </c>
      <c r="K85" s="1"/>
      <c r="L85" s="1"/>
      <c r="M85" s="9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1.25" customHeight="1" x14ac:dyDescent="0.25">
      <c r="A86" s="30" t="s">
        <v>13</v>
      </c>
      <c r="B86" s="31">
        <f>576326/1000</f>
        <v>576.32600000000002</v>
      </c>
      <c r="C86" s="32">
        <v>1.5629748054024148</v>
      </c>
      <c r="E86" s="31">
        <f>739625/1000</f>
        <v>739.625</v>
      </c>
      <c r="F86" s="32">
        <v>1.6854911463659659</v>
      </c>
      <c r="G86" s="58"/>
      <c r="H86" s="36">
        <v>888.39860951109017</v>
      </c>
      <c r="I86" s="32">
        <f>H86/$H$79*100</f>
        <v>1.4490563808627723</v>
      </c>
      <c r="K86" s="1"/>
      <c r="L86" s="1"/>
      <c r="M86" s="9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1.25" customHeight="1" x14ac:dyDescent="0.25">
      <c r="A87" s="30" t="s">
        <v>14</v>
      </c>
      <c r="B87" s="31">
        <f>3098655/1000</f>
        <v>3098.6550000000002</v>
      </c>
      <c r="C87" s="32">
        <v>8.4034378036635857</v>
      </c>
      <c r="E87" s="31">
        <f>3517211/1000</f>
        <v>3517.2109999999998</v>
      </c>
      <c r="F87" s="32">
        <v>8.0151806664201253</v>
      </c>
      <c r="G87" s="58"/>
      <c r="H87" s="36">
        <v>3403.1340610554407</v>
      </c>
      <c r="I87" s="32">
        <f>H87/$H$79*100</f>
        <v>5.5508113962691503</v>
      </c>
      <c r="K87" s="1"/>
      <c r="L87" s="1"/>
      <c r="M87" s="9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1.25" customHeight="1" x14ac:dyDescent="0.25">
      <c r="A88" s="30" t="s">
        <v>15</v>
      </c>
      <c r="B88" s="31">
        <f>834619/1000</f>
        <v>834.61900000000003</v>
      </c>
      <c r="C88" s="32">
        <v>2.2634558723884712</v>
      </c>
      <c r="E88" s="31">
        <f>1432316/1000</f>
        <v>1432.316</v>
      </c>
      <c r="F88" s="32">
        <v>3.2640269552791148</v>
      </c>
      <c r="G88" s="58"/>
      <c r="H88" s="36">
        <v>1679.0376249881554</v>
      </c>
      <c r="I88" s="32">
        <f>H88/$H$79*100</f>
        <v>2.7386582533449912</v>
      </c>
      <c r="K88" s="1"/>
      <c r="L88" s="1"/>
      <c r="M88" s="9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3" customHeight="1" x14ac:dyDescent="0.25">
      <c r="A89" s="30"/>
      <c r="B89" s="31"/>
      <c r="C89" s="32"/>
      <c r="E89" s="31"/>
      <c r="F89" s="32"/>
      <c r="G89" s="58"/>
      <c r="H89" s="31"/>
      <c r="I89" s="32"/>
      <c r="K89" s="1"/>
      <c r="L89" s="1"/>
      <c r="M89" s="9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 customHeight="1" x14ac:dyDescent="0.25">
      <c r="A90" s="24" t="s">
        <v>16</v>
      </c>
      <c r="B90" s="29">
        <f>41350/1000</f>
        <v>41.35</v>
      </c>
      <c r="C90" s="38">
        <v>0.11213967130302963</v>
      </c>
      <c r="E90" s="29">
        <f>62042/1000</f>
        <v>62.042000000000002</v>
      </c>
      <c r="F90" s="25">
        <v>0.14138413615391215</v>
      </c>
      <c r="G90" s="26"/>
      <c r="H90" s="40">
        <f>H91+H92</f>
        <v>65.113825394722227</v>
      </c>
      <c r="I90" s="25">
        <f>H90/$H$79*100</f>
        <v>0.10620638434197011</v>
      </c>
      <c r="K90" s="1"/>
      <c r="L90" s="1"/>
      <c r="M90" s="92"/>
      <c r="N90" s="4"/>
      <c r="O90" s="4"/>
      <c r="P90" s="4"/>
      <c r="Q90" s="4"/>
      <c r="R90" s="4"/>
      <c r="S90" s="4"/>
      <c r="T90" s="4"/>
      <c r="U90" s="4"/>
      <c r="V90" s="4"/>
      <c r="W90" s="15" t="s">
        <v>65</v>
      </c>
      <c r="X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1.25" customHeight="1" x14ac:dyDescent="0.25">
      <c r="A91" s="30" t="s">
        <v>17</v>
      </c>
      <c r="B91" s="31">
        <f>40945/1000</f>
        <v>40.945</v>
      </c>
      <c r="C91" s="32">
        <v>0.1110413262757569</v>
      </c>
      <c r="E91" s="31">
        <f>62042/1000</f>
        <v>62.042000000000002</v>
      </c>
      <c r="F91" s="32">
        <v>0.14138413615391215</v>
      </c>
      <c r="G91" s="58"/>
      <c r="H91" s="31">
        <v>0</v>
      </c>
      <c r="I91" s="25">
        <v>0</v>
      </c>
      <c r="K91" s="1"/>
      <c r="M91" s="9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1.25" customHeight="1" x14ac:dyDescent="0.25">
      <c r="A92" s="30" t="s">
        <v>18</v>
      </c>
      <c r="B92" s="31">
        <v>0.40500000000000003</v>
      </c>
      <c r="C92" s="32">
        <v>1.0983450272727207E-3</v>
      </c>
      <c r="E92" s="83" t="s">
        <v>66</v>
      </c>
      <c r="F92" s="55" t="s">
        <v>66</v>
      </c>
      <c r="G92" s="58"/>
      <c r="H92" s="93">
        <v>65.113825394722227</v>
      </c>
      <c r="I92" s="32">
        <f t="shared" ref="I92:I133" si="2">H92/$H$79*100</f>
        <v>0.10620638434197011</v>
      </c>
      <c r="M92" s="92"/>
      <c r="N92" s="4"/>
      <c r="O92" s="4"/>
    </row>
    <row r="93" spans="1:50" ht="12.75" customHeight="1" x14ac:dyDescent="0.25">
      <c r="A93" s="24" t="s">
        <v>19</v>
      </c>
      <c r="B93" s="29">
        <v>1.214</v>
      </c>
      <c r="C93" s="38">
        <v>3.2923231187878591E-3</v>
      </c>
      <c r="E93" s="120" t="s">
        <v>66</v>
      </c>
      <c r="F93" s="121" t="s">
        <v>66</v>
      </c>
      <c r="G93" s="121"/>
      <c r="H93" s="120" t="s">
        <v>66</v>
      </c>
      <c r="I93" s="121" t="s">
        <v>66</v>
      </c>
      <c r="M93" s="92"/>
      <c r="N93" s="4"/>
      <c r="O93" s="4"/>
    </row>
    <row r="94" spans="1:50" ht="11.25" customHeight="1" x14ac:dyDescent="0.25">
      <c r="A94" s="30" t="s">
        <v>20</v>
      </c>
      <c r="B94" s="31">
        <v>1.214</v>
      </c>
      <c r="C94" s="32">
        <v>3.2923231187878591E-3</v>
      </c>
      <c r="E94" s="83" t="s">
        <v>66</v>
      </c>
      <c r="F94" s="55" t="s">
        <v>66</v>
      </c>
      <c r="G94" s="55"/>
      <c r="H94" s="83" t="s">
        <v>66</v>
      </c>
      <c r="I94" s="55" t="s">
        <v>66</v>
      </c>
      <c r="M94" s="92"/>
      <c r="N94" s="4"/>
      <c r="O94" s="4"/>
    </row>
    <row r="95" spans="1:50" ht="12.75" customHeight="1" x14ac:dyDescent="0.25">
      <c r="A95" s="24" t="s">
        <v>21</v>
      </c>
      <c r="B95" s="29">
        <f>1326925/1000</f>
        <v>1326.925</v>
      </c>
      <c r="C95" s="38">
        <v>3.5985715439848263</v>
      </c>
      <c r="E95" s="29">
        <f>2020986/1000</f>
        <v>2020.9860000000001</v>
      </c>
      <c r="F95" s="38">
        <v>4.6055149703289748</v>
      </c>
      <c r="G95" s="59"/>
      <c r="H95" s="29">
        <f>H96+H97+H98</f>
        <v>2156.4837862830818</v>
      </c>
      <c r="I95" s="25">
        <f t="shared" si="2"/>
        <v>3.5174149951228646</v>
      </c>
      <c r="M95" s="92"/>
      <c r="N95" s="4"/>
      <c r="O95" s="4"/>
    </row>
    <row r="96" spans="1:50" ht="11.25" customHeight="1" x14ac:dyDescent="0.25">
      <c r="A96" s="30" t="s">
        <v>22</v>
      </c>
      <c r="B96" s="31">
        <f>752586/1000</f>
        <v>752.58600000000001</v>
      </c>
      <c r="C96" s="32">
        <v>2.0409854091236239</v>
      </c>
      <c r="E96" s="31">
        <f>1156797/1000</f>
        <v>1156.797</v>
      </c>
      <c r="F96" s="32">
        <v>2.6361617057870008</v>
      </c>
      <c r="G96" s="58"/>
      <c r="H96" s="36">
        <v>1206.4544438956125</v>
      </c>
      <c r="I96" s="32">
        <f t="shared" si="2"/>
        <v>1.9678334606008423</v>
      </c>
      <c r="M96" s="92"/>
      <c r="N96" s="4"/>
      <c r="O96" s="4"/>
    </row>
    <row r="97" spans="1:15" ht="11.25" customHeight="1" x14ac:dyDescent="0.25">
      <c r="A97" s="30" t="s">
        <v>23</v>
      </c>
      <c r="B97" s="31">
        <f>372564/1000</f>
        <v>372.56400000000002</v>
      </c>
      <c r="C97" s="32">
        <v>1.010379794421812</v>
      </c>
      <c r="E97" s="31">
        <f>556886/1000</f>
        <v>556.88599999999997</v>
      </c>
      <c r="F97" s="32">
        <v>1.2690571878116037</v>
      </c>
      <c r="G97" s="58"/>
      <c r="H97" s="36">
        <v>474.0240484908889</v>
      </c>
      <c r="I97" s="32">
        <f t="shared" si="2"/>
        <v>0.77317497438018234</v>
      </c>
      <c r="M97" s="92"/>
      <c r="N97" s="4"/>
      <c r="O97" s="4"/>
    </row>
    <row r="98" spans="1:15" ht="11.25" customHeight="1" x14ac:dyDescent="0.25">
      <c r="A98" s="30" t="s">
        <v>24</v>
      </c>
      <c r="B98" s="31">
        <f>201775/1000</f>
        <v>201.77500000000001</v>
      </c>
      <c r="C98" s="32">
        <v>0.54720634043939065</v>
      </c>
      <c r="E98" s="31">
        <f>307303/1000</f>
        <v>307.303</v>
      </c>
      <c r="F98" s="32">
        <v>0.70029607673037075</v>
      </c>
      <c r="G98" s="58"/>
      <c r="H98" s="33">
        <v>476.00529389658027</v>
      </c>
      <c r="I98" s="32">
        <f t="shared" si="2"/>
        <v>0.77640656014183962</v>
      </c>
      <c r="M98" s="92"/>
      <c r="N98" s="4"/>
      <c r="O98" s="4"/>
    </row>
    <row r="99" spans="1:15" ht="14.25" customHeight="1" x14ac:dyDescent="0.25">
      <c r="A99" s="24" t="str">
        <f>A27</f>
        <v>RAICES, BULBOS Y TUBERCULOS</v>
      </c>
      <c r="B99" s="29">
        <f>SUM(B100:B107)</f>
        <v>3875.8619999999996</v>
      </c>
      <c r="C99" s="38">
        <f>SUM(C100:C107)</f>
        <v>10.5111944545563</v>
      </c>
      <c r="E99" s="29">
        <f>SUM(E100:E107)</f>
        <v>4125.8019999999997</v>
      </c>
      <c r="F99" s="38">
        <f>SUM(F100:F107)</f>
        <v>9.402065563845186</v>
      </c>
      <c r="G99" s="59"/>
      <c r="H99" s="27">
        <v>4977.9859354078335</v>
      </c>
      <c r="I99" s="25">
        <f t="shared" si="2"/>
        <v>8.1195335138104028</v>
      </c>
      <c r="M99" s="92"/>
      <c r="N99" s="4"/>
      <c r="O99" s="4"/>
    </row>
    <row r="100" spans="1:15" ht="11.25" customHeight="1" x14ac:dyDescent="0.25">
      <c r="A100" s="30" t="s">
        <v>26</v>
      </c>
      <c r="B100" s="31">
        <f>690117/1000</f>
        <v>690.11699999999996</v>
      </c>
      <c r="C100" s="32">
        <v>1.8715717905836249</v>
      </c>
      <c r="E100" s="31">
        <f>656940/1000</f>
        <v>656.94</v>
      </c>
      <c r="F100" s="32">
        <v>1.4970648013434613</v>
      </c>
      <c r="G100" s="58"/>
      <c r="H100" s="101">
        <v>0</v>
      </c>
      <c r="I100" s="32">
        <f t="shared" si="2"/>
        <v>0</v>
      </c>
      <c r="M100" s="92"/>
      <c r="N100" s="4"/>
      <c r="O100" s="4"/>
    </row>
    <row r="101" spans="1:15" ht="11.25" customHeight="1" x14ac:dyDescent="0.25">
      <c r="A101" s="30" t="s">
        <v>27</v>
      </c>
      <c r="B101" s="31">
        <f>302029/1000</f>
        <v>302.029</v>
      </c>
      <c r="C101" s="32">
        <v>0.81909148207938898</v>
      </c>
      <c r="E101" s="31">
        <f>246048/1000</f>
        <v>246.048</v>
      </c>
      <c r="F101" s="32">
        <v>0.56070539203116876</v>
      </c>
      <c r="G101" s="58"/>
      <c r="H101" s="101">
        <v>0</v>
      </c>
      <c r="I101" s="32">
        <f t="shared" si="2"/>
        <v>0</v>
      </c>
      <c r="M101" s="92"/>
      <c r="N101" s="4"/>
      <c r="O101" s="4"/>
    </row>
    <row r="102" spans="1:15" ht="11.25" customHeight="1" x14ac:dyDescent="0.25">
      <c r="A102" s="30" t="s">
        <v>28</v>
      </c>
      <c r="B102" s="31">
        <f>1307447/1000</f>
        <v>1307.4469999999999</v>
      </c>
      <c r="C102" s="32">
        <v>3.5457479280805844</v>
      </c>
      <c r="E102" s="31">
        <f>1257346/1000</f>
        <v>1257.346</v>
      </c>
      <c r="F102" s="32">
        <v>2.8652973478704236</v>
      </c>
      <c r="G102" s="58"/>
      <c r="H102" s="101">
        <v>0</v>
      </c>
      <c r="I102" s="32">
        <f t="shared" si="2"/>
        <v>0</v>
      </c>
      <c r="M102" s="92"/>
      <c r="N102" s="4"/>
      <c r="O102" s="4"/>
    </row>
    <row r="103" spans="1:15" ht="11.25" customHeight="1" x14ac:dyDescent="0.25">
      <c r="A103" s="30" t="s">
        <v>29</v>
      </c>
      <c r="B103" s="31">
        <f>521492/1000</f>
        <v>521.49199999999996</v>
      </c>
      <c r="C103" s="32">
        <v>1.4142670245987794</v>
      </c>
      <c r="E103" s="31">
        <f>541957/1000</f>
        <v>541.95699999999999</v>
      </c>
      <c r="F103" s="32">
        <v>1.2350363024655193</v>
      </c>
      <c r="G103" s="58"/>
      <c r="H103" s="101">
        <v>0</v>
      </c>
      <c r="I103" s="32">
        <f t="shared" si="2"/>
        <v>0</v>
      </c>
      <c r="M103" s="92"/>
      <c r="N103" s="4"/>
      <c r="O103" s="4"/>
    </row>
    <row r="104" spans="1:15" ht="11.25" customHeight="1" x14ac:dyDescent="0.25">
      <c r="A104" s="30" t="s">
        <v>30</v>
      </c>
      <c r="B104" s="31">
        <f>216462/1000</f>
        <v>216.46199999999999</v>
      </c>
      <c r="C104" s="32">
        <v>0.58703694146545093</v>
      </c>
      <c r="E104" s="31">
        <f>412434/1000</f>
        <v>412.43400000000003</v>
      </c>
      <c r="F104" s="32">
        <v>0.93987338916383412</v>
      </c>
      <c r="G104" s="58"/>
      <c r="H104" s="101">
        <v>0</v>
      </c>
      <c r="I104" s="32">
        <f t="shared" si="2"/>
        <v>0</v>
      </c>
      <c r="M104" s="92"/>
      <c r="N104" s="4"/>
      <c r="O104" s="4"/>
    </row>
    <row r="105" spans="1:15" ht="11.25" customHeight="1" x14ac:dyDescent="0.25">
      <c r="A105" s="30" t="s">
        <v>31</v>
      </c>
      <c r="B105" s="31">
        <f>781209/1000</f>
        <v>781.20899999999995</v>
      </c>
      <c r="C105" s="32">
        <v>2.1186099269399872</v>
      </c>
      <c r="E105" s="31">
        <f>808716/1000</f>
        <v>808.71600000000001</v>
      </c>
      <c r="F105" s="32">
        <v>1.8429388648632732</v>
      </c>
      <c r="G105" s="58"/>
      <c r="H105" s="101">
        <v>0</v>
      </c>
      <c r="I105" s="32">
        <f t="shared" si="2"/>
        <v>0</v>
      </c>
      <c r="M105" s="92"/>
      <c r="N105" s="4"/>
      <c r="O105" s="4"/>
    </row>
    <row r="106" spans="1:15" ht="11.25" customHeight="1" x14ac:dyDescent="0.25">
      <c r="A106" s="30" t="s">
        <v>32</v>
      </c>
      <c r="B106" s="31">
        <f>46466/1000</f>
        <v>46.466000000000001</v>
      </c>
      <c r="C106" s="32">
        <v>0.12601407416605984</v>
      </c>
      <c r="E106" s="31">
        <f>184472/1000</f>
        <v>184.47200000000001</v>
      </c>
      <c r="F106" s="32">
        <v>0.42038319790761874</v>
      </c>
      <c r="G106" s="58"/>
      <c r="H106" s="101">
        <v>0</v>
      </c>
      <c r="I106" s="32">
        <f t="shared" si="2"/>
        <v>0</v>
      </c>
      <c r="M106" s="92"/>
      <c r="N106" s="4"/>
      <c r="O106" s="4"/>
    </row>
    <row r="107" spans="1:15" ht="11.25" customHeight="1" x14ac:dyDescent="0.25">
      <c r="A107" s="30" t="s">
        <v>33</v>
      </c>
      <c r="B107" s="31">
        <v>10.64</v>
      </c>
      <c r="C107" s="32">
        <v>2.885528664242407E-2</v>
      </c>
      <c r="E107" s="31">
        <v>17.888999999999999</v>
      </c>
      <c r="F107" s="32">
        <v>4.0766268199886116E-2</v>
      </c>
      <c r="G107" s="58"/>
      <c r="H107" s="101">
        <v>0</v>
      </c>
      <c r="I107" s="32">
        <f t="shared" si="2"/>
        <v>0</v>
      </c>
      <c r="M107" s="92"/>
      <c r="N107" s="4"/>
      <c r="O107" s="4"/>
    </row>
    <row r="108" spans="1:15" ht="3" customHeight="1" x14ac:dyDescent="0.25">
      <c r="A108" s="30"/>
      <c r="B108" s="31"/>
      <c r="C108" s="32"/>
      <c r="E108" s="31"/>
      <c r="F108" s="32"/>
      <c r="G108" s="58"/>
      <c r="H108" s="43"/>
      <c r="I108" s="32">
        <f>H108/$H$79*100</f>
        <v>0</v>
      </c>
      <c r="M108" s="92"/>
      <c r="N108" s="4"/>
      <c r="O108" s="4"/>
    </row>
    <row r="109" spans="1:15" ht="12.75" customHeight="1" x14ac:dyDescent="0.25">
      <c r="A109" s="24" t="s">
        <v>34</v>
      </c>
      <c r="B109" s="44">
        <f>6438540/1000</f>
        <v>6438.54</v>
      </c>
      <c r="C109" s="38">
        <v>17.461082449127165</v>
      </c>
      <c r="E109" s="29">
        <f>8485736/1000</f>
        <v>8485.7360000000008</v>
      </c>
      <c r="F109" s="38">
        <v>19.337681796043871</v>
      </c>
      <c r="G109" s="59"/>
      <c r="H109" s="29">
        <f>H110+H118+H112+H113+H114+H115+H116+H117+H119</f>
        <v>9295.7329903511509</v>
      </c>
      <c r="I109" s="25">
        <f t="shared" si="2"/>
        <v>15.162159260782548</v>
      </c>
      <c r="M109" s="92"/>
      <c r="N109" s="4"/>
      <c r="O109" s="4"/>
    </row>
    <row r="110" spans="1:15" ht="11.25" customHeight="1" x14ac:dyDescent="0.25">
      <c r="A110" s="30" t="s">
        <v>35</v>
      </c>
      <c r="B110" s="31">
        <f>1411900/1000</f>
        <v>1411.9</v>
      </c>
      <c r="C110" s="32">
        <v>3.8290206024848255</v>
      </c>
      <c r="E110" s="31">
        <f>1281063/1000</f>
        <v>1281.0630000000001</v>
      </c>
      <c r="F110" s="32">
        <v>2.9193447279865117</v>
      </c>
      <c r="G110" s="58"/>
      <c r="H110" s="36">
        <v>1574.9651906479057</v>
      </c>
      <c r="I110" s="32">
        <f>H110/$H$79*100</f>
        <v>2.568906946399955</v>
      </c>
      <c r="M110" s="92"/>
      <c r="N110" s="4"/>
      <c r="O110" s="4"/>
    </row>
    <row r="111" spans="1:15" ht="11.25" customHeight="1" x14ac:dyDescent="0.25">
      <c r="A111" s="30" t="s">
        <v>36</v>
      </c>
      <c r="B111" s="31">
        <f>415179/1000</f>
        <v>415.17899999999997</v>
      </c>
      <c r="C111" s="32">
        <v>1.125950098958175</v>
      </c>
      <c r="E111" s="31">
        <f>346125/1000</f>
        <v>346.125</v>
      </c>
      <c r="F111" s="32">
        <v>0.78876541901087716</v>
      </c>
      <c r="G111" s="58"/>
      <c r="H111" s="1">
        <v>0</v>
      </c>
      <c r="I111" s="2">
        <v>0</v>
      </c>
      <c r="M111" s="92"/>
      <c r="N111" s="4"/>
      <c r="O111" s="4"/>
    </row>
    <row r="112" spans="1:15" ht="11.25" customHeight="1" x14ac:dyDescent="0.25">
      <c r="A112" s="30" t="s">
        <v>37</v>
      </c>
      <c r="B112" s="31">
        <f>257125/1000</f>
        <v>257.125</v>
      </c>
      <c r="C112" s="32">
        <v>0.69731349416666244</v>
      </c>
      <c r="E112" s="31">
        <f>453037/1000</f>
        <v>453.03699999999998</v>
      </c>
      <c r="F112" s="32">
        <v>1.0324013553844154</v>
      </c>
      <c r="G112" s="58"/>
      <c r="H112" s="36">
        <v>599.75996835555554</v>
      </c>
      <c r="I112" s="32">
        <f t="shared" si="2"/>
        <v>0.97826133430122508</v>
      </c>
      <c r="M112" s="92"/>
      <c r="N112" s="4"/>
      <c r="O112" s="4"/>
    </row>
    <row r="113" spans="1:15" ht="11.25" customHeight="1" x14ac:dyDescent="0.25">
      <c r="A113" s="30" t="s">
        <v>38</v>
      </c>
      <c r="B113" s="31">
        <f>320236/1000</f>
        <v>320.23599999999999</v>
      </c>
      <c r="C113" s="32">
        <v>0.86846819297211586</v>
      </c>
      <c r="E113" s="31">
        <f>1095320/1000</f>
        <v>1095.32</v>
      </c>
      <c r="F113" s="32">
        <v>2.4960651173737638</v>
      </c>
      <c r="G113" s="58"/>
      <c r="H113" s="36">
        <v>290.98095755208334</v>
      </c>
      <c r="I113" s="32">
        <f t="shared" si="2"/>
        <v>0.47461557091185685</v>
      </c>
      <c r="M113" s="92"/>
      <c r="N113" s="4"/>
      <c r="O113" s="4"/>
    </row>
    <row r="114" spans="1:15" ht="11.25" customHeight="1" x14ac:dyDescent="0.25">
      <c r="A114" s="30" t="s">
        <v>67</v>
      </c>
      <c r="B114" s="31">
        <v>0</v>
      </c>
      <c r="C114" s="32">
        <v>0</v>
      </c>
      <c r="E114" s="31">
        <v>0</v>
      </c>
      <c r="F114" s="32">
        <v>0</v>
      </c>
      <c r="G114" s="58"/>
      <c r="H114" s="36">
        <v>240.09249122429907</v>
      </c>
      <c r="I114" s="32">
        <f t="shared" si="2"/>
        <v>0.39161200015528241</v>
      </c>
      <c r="M114" s="92"/>
      <c r="N114" s="4"/>
      <c r="O114" s="4"/>
    </row>
    <row r="115" spans="1:15" ht="11.25" customHeight="1" x14ac:dyDescent="0.25">
      <c r="A115" s="30" t="s">
        <v>39</v>
      </c>
      <c r="B115" s="31">
        <f>557340/1000</f>
        <v>557.34</v>
      </c>
      <c r="C115" s="32">
        <v>1.5114854753090818</v>
      </c>
      <c r="E115" s="31">
        <f>670317/1000</f>
        <v>670.31700000000001</v>
      </c>
      <c r="F115" s="32">
        <v>1.5275489183824171</v>
      </c>
      <c r="G115" s="58"/>
      <c r="H115" s="36">
        <v>656.22294880417269</v>
      </c>
      <c r="I115" s="32">
        <f t="shared" si="2"/>
        <v>1.0703574285833013</v>
      </c>
      <c r="M115" s="92"/>
      <c r="N115" s="4"/>
      <c r="O115" s="4"/>
    </row>
    <row r="116" spans="1:15" ht="11.25" customHeight="1" x14ac:dyDescent="0.25">
      <c r="A116" s="30" t="s">
        <v>40</v>
      </c>
      <c r="B116" s="31">
        <f>902377/1000</f>
        <v>902.37699999999995</v>
      </c>
      <c r="C116" s="32">
        <v>2.4472130633957425</v>
      </c>
      <c r="E116" s="31">
        <f>1014987/1000</f>
        <v>1014.987</v>
      </c>
      <c r="F116" s="32">
        <v>2.3129986171053609</v>
      </c>
      <c r="G116" s="58"/>
      <c r="H116" s="36">
        <v>2818.8050215111107</v>
      </c>
      <c r="I116" s="32">
        <f t="shared" si="2"/>
        <v>4.5977192659909374</v>
      </c>
      <c r="M116" s="92"/>
      <c r="N116" s="4"/>
      <c r="O116" s="4"/>
    </row>
    <row r="117" spans="1:15" ht="11.25" customHeight="1" x14ac:dyDescent="0.25">
      <c r="A117" s="30" t="s">
        <v>41</v>
      </c>
      <c r="B117" s="31">
        <f>1431014/1000</f>
        <v>1431.0139999999999</v>
      </c>
      <c r="C117" s="32">
        <v>3.8808570638460367</v>
      </c>
      <c r="E117" s="31">
        <f>2569588/1000</f>
        <v>2569.5880000000002</v>
      </c>
      <c r="F117" s="32">
        <v>5.8556942015321685</v>
      </c>
      <c r="G117" s="58"/>
      <c r="H117" s="36">
        <v>2266.8461435798613</v>
      </c>
      <c r="I117" s="32">
        <f t="shared" si="2"/>
        <v>3.6974257204165077</v>
      </c>
      <c r="M117" s="92"/>
      <c r="N117" s="4"/>
      <c r="O117" s="4"/>
    </row>
    <row r="118" spans="1:15" ht="11.25" customHeight="1" x14ac:dyDescent="0.25">
      <c r="A118" s="30" t="s">
        <v>68</v>
      </c>
      <c r="B118" s="31">
        <v>0</v>
      </c>
      <c r="C118" s="32">
        <v>0</v>
      </c>
      <c r="E118" s="31">
        <v>0</v>
      </c>
      <c r="F118" s="32">
        <v>0</v>
      </c>
      <c r="G118" s="58"/>
      <c r="H118" s="36">
        <v>715.87026501707135</v>
      </c>
      <c r="I118" s="32">
        <f>H118/$H$79*100</f>
        <v>1.1676474549681988</v>
      </c>
      <c r="M118" s="92"/>
      <c r="N118" s="4"/>
      <c r="O118" s="4"/>
    </row>
    <row r="119" spans="1:15" ht="11.25" customHeight="1" x14ac:dyDescent="0.25">
      <c r="A119" s="30" t="s">
        <v>42</v>
      </c>
      <c r="B119" s="31">
        <f>1143369/1000</f>
        <v>1143.3689999999999</v>
      </c>
      <c r="C119" s="32">
        <v>3.1007744579945267</v>
      </c>
      <c r="E119" s="31">
        <f>1055299/1000</f>
        <v>1055.299</v>
      </c>
      <c r="F119" s="32">
        <v>2.4048634392683557</v>
      </c>
      <c r="G119" s="58"/>
      <c r="H119" s="94">
        <v>132.19000365909025</v>
      </c>
      <c r="I119" s="32">
        <f t="shared" si="2"/>
        <v>0.21561353905528233</v>
      </c>
      <c r="M119" s="92"/>
      <c r="N119" s="4"/>
      <c r="O119" s="4"/>
    </row>
    <row r="120" spans="1:15" x14ac:dyDescent="0.25">
      <c r="A120" s="24" t="s">
        <v>43</v>
      </c>
      <c r="B120" s="44">
        <f>SUM(B121:B124)</f>
        <v>3561.9269999999997</v>
      </c>
      <c r="C120" s="38">
        <f>SUM(C121:C125)</f>
        <v>9.6598143406381229</v>
      </c>
      <c r="E120" s="44">
        <f>SUM(E121:E124)</f>
        <v>3999.6680000000006</v>
      </c>
      <c r="F120" s="38">
        <f>SUM(F121:F125)</f>
        <v>9.1146256581419927</v>
      </c>
      <c r="G120" s="59"/>
      <c r="H120" s="44">
        <f>SUM(H121:H125)</f>
        <v>7992.9883010872381</v>
      </c>
      <c r="I120" s="25">
        <f t="shared" si="2"/>
        <v>13.037267928892865</v>
      </c>
      <c r="M120" s="92"/>
      <c r="N120" s="4"/>
      <c r="O120" s="4"/>
    </row>
    <row r="121" spans="1:15" ht="11.25" customHeight="1" x14ac:dyDescent="0.25">
      <c r="A121" s="30" t="s">
        <v>44</v>
      </c>
      <c r="B121" s="31">
        <f>1442130/1000</f>
        <v>1442.13</v>
      </c>
      <c r="C121" s="32">
        <v>3.9110032448908849</v>
      </c>
      <c r="E121" s="31">
        <f>1787862/1000</f>
        <v>1787.8620000000001</v>
      </c>
      <c r="F121" s="32">
        <v>4.0742613782986634</v>
      </c>
      <c r="G121" s="58"/>
      <c r="H121" s="36">
        <v>3172.6525984864056</v>
      </c>
      <c r="I121" s="32">
        <f t="shared" si="2"/>
        <v>5.1748758303748685</v>
      </c>
      <c r="M121" s="92"/>
      <c r="N121" s="4"/>
      <c r="O121" s="4"/>
    </row>
    <row r="122" spans="1:15" ht="11.25" customHeight="1" x14ac:dyDescent="0.25">
      <c r="A122" s="30" t="s">
        <v>45</v>
      </c>
      <c r="B122" s="31">
        <f>403270/1000</f>
        <v>403.27</v>
      </c>
      <c r="C122" s="32">
        <v>1.0936533312302965</v>
      </c>
      <c r="E122" s="31">
        <f>361403/1000</f>
        <v>361.40300000000002</v>
      </c>
      <c r="F122" s="32">
        <v>0.82358162145695335</v>
      </c>
      <c r="G122" s="58"/>
      <c r="H122" s="31">
        <v>0</v>
      </c>
      <c r="I122" s="32">
        <f t="shared" si="2"/>
        <v>0</v>
      </c>
      <c r="M122" s="92"/>
      <c r="N122" s="4"/>
      <c r="O122" s="4"/>
    </row>
    <row r="123" spans="1:15" ht="11.25" customHeight="1" x14ac:dyDescent="0.25">
      <c r="A123" s="30" t="s">
        <v>46</v>
      </c>
      <c r="B123" s="31">
        <f>571832/1000</f>
        <v>571.83199999999999</v>
      </c>
      <c r="C123" s="32">
        <v>1.5507872435442331</v>
      </c>
      <c r="E123" s="31">
        <f>382398/1000</f>
        <v>382.39800000000002</v>
      </c>
      <c r="F123" s="32">
        <v>0.87142598396221416</v>
      </c>
      <c r="G123" s="58"/>
      <c r="H123" s="31">
        <v>0</v>
      </c>
      <c r="I123" s="32">
        <v>0</v>
      </c>
      <c r="M123" s="92"/>
      <c r="N123" s="4"/>
      <c r="O123" s="4"/>
    </row>
    <row r="124" spans="1:15" ht="11.25" customHeight="1" x14ac:dyDescent="0.25">
      <c r="A124" s="30" t="s">
        <v>47</v>
      </c>
      <c r="B124" s="31">
        <f>1144695/1000</f>
        <v>1144.6949999999999</v>
      </c>
      <c r="C124" s="32">
        <v>3.1043705209727084</v>
      </c>
      <c r="E124" s="31">
        <f>1468005/1000</f>
        <v>1468.0050000000001</v>
      </c>
      <c r="F124" s="32">
        <v>3.3453566744241612</v>
      </c>
      <c r="G124" s="58"/>
      <c r="H124" s="93">
        <v>4529.9148060613879</v>
      </c>
      <c r="I124" s="32">
        <f t="shared" si="2"/>
        <v>7.3886900364470458</v>
      </c>
      <c r="M124" s="92"/>
      <c r="N124" s="4"/>
      <c r="O124" s="4"/>
    </row>
    <row r="125" spans="1:15" ht="14.25" customHeight="1" x14ac:dyDescent="0.25">
      <c r="A125" s="30" t="s">
        <v>69</v>
      </c>
      <c r="B125" s="31">
        <v>0</v>
      </c>
      <c r="C125" s="32">
        <v>0</v>
      </c>
      <c r="E125" s="31">
        <v>0</v>
      </c>
      <c r="F125" s="32">
        <v>0</v>
      </c>
      <c r="G125" s="58"/>
      <c r="H125" s="93">
        <v>290.42089653944447</v>
      </c>
      <c r="I125" s="32">
        <f t="shared" si="2"/>
        <v>0.47370206207095106</v>
      </c>
      <c r="M125" s="92"/>
      <c r="N125" s="4"/>
      <c r="O125" s="4"/>
    </row>
    <row r="126" spans="1:15" ht="3" customHeight="1" x14ac:dyDescent="0.25">
      <c r="A126" s="30"/>
      <c r="B126" s="31"/>
      <c r="C126" s="32"/>
      <c r="E126" s="31"/>
      <c r="F126" s="32"/>
      <c r="G126" s="58"/>
      <c r="H126" s="93"/>
      <c r="I126" s="25">
        <f>H126/$H$79*100</f>
        <v>0</v>
      </c>
      <c r="M126" s="92"/>
      <c r="N126" s="4"/>
      <c r="O126" s="4"/>
    </row>
    <row r="127" spans="1:15" x14ac:dyDescent="0.25">
      <c r="A127" s="24" t="s">
        <v>48</v>
      </c>
      <c r="B127" s="44">
        <f>3929489/1000</f>
        <v>3929.489</v>
      </c>
      <c r="C127" s="38">
        <v>10.65662889598236</v>
      </c>
      <c r="E127" s="44">
        <f>4626807/1000</f>
        <v>4626.8069999999998</v>
      </c>
      <c r="F127" s="38">
        <v>10.543778582990132</v>
      </c>
      <c r="G127" s="59"/>
      <c r="H127" s="44">
        <f>H128+H132+H133</f>
        <v>13599.527012732644</v>
      </c>
      <c r="I127" s="25">
        <f t="shared" si="2"/>
        <v>22.18202638268523</v>
      </c>
      <c r="M127" s="92"/>
      <c r="N127" s="4"/>
      <c r="O127" s="4"/>
    </row>
    <row r="128" spans="1:15" ht="11.25" customHeight="1" x14ac:dyDescent="0.25">
      <c r="A128" s="30" t="s">
        <v>49</v>
      </c>
      <c r="B128" s="45">
        <f>3867016/1000</f>
        <v>3867.0160000000001</v>
      </c>
      <c r="C128" s="32">
        <v>10.487204429590239</v>
      </c>
      <c r="E128" s="31">
        <f>4626807/1000</f>
        <v>4626.8069999999998</v>
      </c>
      <c r="F128" s="32">
        <v>10.543778582990132</v>
      </c>
      <c r="G128" s="58"/>
      <c r="H128" s="36">
        <v>5371.0501620931673</v>
      </c>
      <c r="I128" s="32">
        <f t="shared" si="2"/>
        <v>8.7606558880121419</v>
      </c>
      <c r="M128" s="92"/>
      <c r="N128" s="4"/>
      <c r="O128" s="4"/>
    </row>
    <row r="129" spans="1:15" ht="11.25" customHeight="1" x14ac:dyDescent="0.25">
      <c r="A129" s="30" t="s">
        <v>50</v>
      </c>
      <c r="B129" s="45">
        <v>2.1259999999999999</v>
      </c>
      <c r="C129" s="32">
        <v>5.7656334024242077E-3</v>
      </c>
      <c r="E129" s="83" t="s">
        <v>66</v>
      </c>
      <c r="F129" s="55" t="s">
        <v>66</v>
      </c>
      <c r="G129" s="58"/>
      <c r="H129" s="83" t="s">
        <v>66</v>
      </c>
      <c r="I129" s="55" t="s">
        <v>66</v>
      </c>
      <c r="M129" s="92"/>
      <c r="N129" s="4"/>
      <c r="O129" s="4"/>
    </row>
    <row r="130" spans="1:15" ht="11.25" customHeight="1" x14ac:dyDescent="0.25">
      <c r="A130" s="30" t="s">
        <v>51</v>
      </c>
      <c r="B130" s="45">
        <f>60347/1000</f>
        <v>60.347000000000001</v>
      </c>
      <c r="C130" s="32">
        <v>0.16365883298969597</v>
      </c>
      <c r="E130" s="83" t="s">
        <v>66</v>
      </c>
      <c r="F130" s="55" t="s">
        <v>66</v>
      </c>
      <c r="G130" s="58"/>
      <c r="H130" s="83" t="s">
        <v>66</v>
      </c>
      <c r="I130" s="55" t="s">
        <v>66</v>
      </c>
      <c r="M130" s="4"/>
      <c r="N130" s="4"/>
      <c r="O130" s="4"/>
    </row>
    <row r="131" spans="1:15" ht="3" customHeight="1" x14ac:dyDescent="0.25">
      <c r="A131" s="30"/>
      <c r="B131" s="45"/>
      <c r="C131" s="32"/>
      <c r="E131" s="83"/>
      <c r="F131" s="32"/>
      <c r="G131" s="58"/>
      <c r="H131" s="83"/>
      <c r="I131" s="25">
        <f t="shared" si="2"/>
        <v>0</v>
      </c>
      <c r="M131" s="4"/>
      <c r="N131" s="4"/>
      <c r="O131" s="4"/>
    </row>
    <row r="132" spans="1:15" ht="11.25" customHeight="1" x14ac:dyDescent="0.25">
      <c r="A132" s="30" t="s">
        <v>70</v>
      </c>
      <c r="B132" s="45"/>
      <c r="C132" s="32"/>
      <c r="E132" s="83"/>
      <c r="F132" s="32"/>
      <c r="G132" s="58"/>
      <c r="H132" s="119">
        <v>2311.7876154240366</v>
      </c>
      <c r="I132" s="32">
        <f t="shared" si="2"/>
        <v>3.7707292193684094</v>
      </c>
      <c r="M132" s="4"/>
      <c r="N132" s="4"/>
      <c r="O132" s="4"/>
    </row>
    <row r="133" spans="1:15" ht="11.25" customHeight="1" x14ac:dyDescent="0.25">
      <c r="A133" s="30" t="s">
        <v>71</v>
      </c>
      <c r="B133" s="45"/>
      <c r="C133" s="32"/>
      <c r="E133" s="83"/>
      <c r="F133" s="32"/>
      <c r="G133" s="58"/>
      <c r="H133" s="33">
        <v>5916.68923521544</v>
      </c>
      <c r="I133" s="32">
        <f t="shared" si="2"/>
        <v>9.6506412753046771</v>
      </c>
      <c r="M133" s="4"/>
      <c r="N133" s="4"/>
      <c r="O133" s="4"/>
    </row>
    <row r="134" spans="1:15" x14ac:dyDescent="0.25">
      <c r="A134" s="24" t="s">
        <v>52</v>
      </c>
      <c r="B134" s="48">
        <f>45106649/1000</f>
        <v>45106.648999999998</v>
      </c>
      <c r="C134" s="49">
        <v>100</v>
      </c>
      <c r="E134" s="48">
        <f>47837973/1000</f>
        <v>47837.972999999998</v>
      </c>
      <c r="F134" s="49">
        <v>100</v>
      </c>
      <c r="G134" s="22"/>
      <c r="H134" s="48">
        <f>H135+H136+H138+H139+H140+H143</f>
        <v>56526.216860232744</v>
      </c>
      <c r="I134" s="49">
        <f>I135+I136+I138+I139+I140+I143</f>
        <v>100</v>
      </c>
      <c r="M134" s="4"/>
      <c r="N134" s="4"/>
      <c r="O134" s="4"/>
    </row>
    <row r="135" spans="1:15" ht="11.25" customHeight="1" x14ac:dyDescent="0.25">
      <c r="A135" s="30" t="s">
        <v>53</v>
      </c>
      <c r="B135" s="31">
        <f>14609294/1000</f>
        <v>14609.294</v>
      </c>
      <c r="C135" s="32">
        <v>32.388338136135985</v>
      </c>
      <c r="E135" s="31">
        <f>16373449/1000</f>
        <v>16373.449000000001</v>
      </c>
      <c r="F135" s="32">
        <v>34.226887079851814</v>
      </c>
      <c r="G135" s="58"/>
      <c r="H135" s="93">
        <v>15404.781878802898</v>
      </c>
      <c r="I135" s="32">
        <f>H135/$H$134*100</f>
        <v>27.252455116345232</v>
      </c>
      <c r="M135" s="4"/>
      <c r="N135" s="4"/>
      <c r="O135" s="4"/>
    </row>
    <row r="136" spans="1:15" ht="11.25" customHeight="1" x14ac:dyDescent="0.25">
      <c r="A136" s="30" t="s">
        <v>54</v>
      </c>
      <c r="B136" s="31">
        <f>6789760/1000</f>
        <v>6789.76</v>
      </c>
      <c r="C136" s="32">
        <v>15.052681036004248</v>
      </c>
      <c r="E136" s="31">
        <f>7363882/1000</f>
        <v>7363.8819999999996</v>
      </c>
      <c r="F136" s="32">
        <v>15.393382156890301</v>
      </c>
      <c r="G136" s="58"/>
      <c r="H136" s="93">
        <v>6302.4244279276163</v>
      </c>
      <c r="I136" s="32">
        <f t="shared" ref="I136:I143" si="3">H136/$H$134*100</f>
        <v>11.149559935190871</v>
      </c>
      <c r="M136" s="4"/>
      <c r="N136" s="4"/>
      <c r="O136" s="4"/>
    </row>
    <row r="137" spans="1:15" ht="11.25" customHeight="1" x14ac:dyDescent="0.25">
      <c r="A137" s="30" t="s">
        <v>55</v>
      </c>
      <c r="B137" s="31">
        <f>176439/1000</f>
        <v>176.43899999999999</v>
      </c>
      <c r="C137" s="32">
        <v>0.39115962704301088</v>
      </c>
      <c r="E137" s="31">
        <f>179234/1000</f>
        <v>179.23400000000001</v>
      </c>
      <c r="F137" s="32">
        <v>0.37466888490446698</v>
      </c>
      <c r="G137" s="58"/>
      <c r="H137" s="39" t="s">
        <v>72</v>
      </c>
      <c r="I137" s="32"/>
      <c r="M137" s="4"/>
      <c r="N137" s="4"/>
      <c r="O137" s="4"/>
    </row>
    <row r="138" spans="1:15" ht="11.25" customHeight="1" x14ac:dyDescent="0.25">
      <c r="A138" s="30" t="s">
        <v>56</v>
      </c>
      <c r="B138" s="31">
        <f>13777543/1000</f>
        <v>13777.543</v>
      </c>
      <c r="C138" s="32">
        <v>30.544372737597953</v>
      </c>
      <c r="E138" s="31">
        <f>13685345/1000</f>
        <v>13685.344999999999</v>
      </c>
      <c r="F138" s="32">
        <v>28.607702504451847</v>
      </c>
      <c r="G138" s="58"/>
      <c r="H138" s="93">
        <v>12907.753828199999</v>
      </c>
      <c r="I138" s="32">
        <f t="shared" si="3"/>
        <v>22.834986215539299</v>
      </c>
      <c r="M138" s="4"/>
      <c r="N138" s="4"/>
      <c r="O138" s="4"/>
    </row>
    <row r="139" spans="1:15" ht="11.25" customHeight="1" x14ac:dyDescent="0.25">
      <c r="A139" s="30" t="s">
        <v>57</v>
      </c>
      <c r="B139" s="31">
        <f>6459264/1000</f>
        <v>6459.2640000000001</v>
      </c>
      <c r="C139" s="32">
        <v>14.319981960974312</v>
      </c>
      <c r="E139" s="31">
        <f>7044548/1000</f>
        <v>7044.5479999999998</v>
      </c>
      <c r="F139" s="32">
        <v>14.725849692669879</v>
      </c>
      <c r="G139" s="58"/>
      <c r="H139" s="93">
        <v>18053.417858328583</v>
      </c>
      <c r="I139" s="32">
        <f t="shared" si="3"/>
        <v>31.938132182041535</v>
      </c>
      <c r="M139" s="4"/>
      <c r="N139" s="4"/>
      <c r="O139" s="4"/>
    </row>
    <row r="140" spans="1:15" ht="11.25" customHeight="1" x14ac:dyDescent="0.25">
      <c r="A140" s="30" t="s">
        <v>58</v>
      </c>
      <c r="B140" s="31">
        <f>3228041/1000</f>
        <v>3228.0410000000002</v>
      </c>
      <c r="C140" s="32">
        <v>7.1564637843081629</v>
      </c>
      <c r="E140" s="31">
        <f>3140470/1000</f>
        <v>3140.47</v>
      </c>
      <c r="F140" s="32">
        <v>6.5648057454273818</v>
      </c>
      <c r="G140" s="58"/>
      <c r="H140" s="93">
        <v>3357.9287798310374</v>
      </c>
      <c r="I140" s="32">
        <f t="shared" si="3"/>
        <v>5.9404803051544803</v>
      </c>
      <c r="M140" s="4"/>
      <c r="N140" s="4"/>
      <c r="O140" s="4"/>
    </row>
    <row r="141" spans="1:15" ht="11.25" customHeight="1" x14ac:dyDescent="0.25">
      <c r="A141" s="30" t="s">
        <v>59</v>
      </c>
      <c r="B141" s="31">
        <f>61969/1000</f>
        <v>61.969000000000001</v>
      </c>
      <c r="C141" s="32">
        <v>0.13738329353617024</v>
      </c>
      <c r="E141" s="31">
        <f>51045/1000</f>
        <v>51.045000000000002</v>
      </c>
      <c r="F141" s="32">
        <v>0.10670393580430342</v>
      </c>
      <c r="G141" s="58"/>
      <c r="H141" s="83" t="s">
        <v>66</v>
      </c>
      <c r="I141" s="32"/>
      <c r="M141" s="4"/>
      <c r="N141" s="4"/>
      <c r="O141" s="4"/>
    </row>
    <row r="142" spans="1:15" ht="11.25" customHeight="1" x14ac:dyDescent="0.25">
      <c r="A142" s="30" t="s">
        <v>60</v>
      </c>
      <c r="B142" s="31">
        <v>4.3390000000000004</v>
      </c>
      <c r="C142" s="32">
        <v>9.6194244001588328E-3</v>
      </c>
      <c r="E142" s="83" t="s">
        <v>66</v>
      </c>
      <c r="F142" s="35"/>
      <c r="G142" s="62"/>
      <c r="H142" s="83" t="s">
        <v>66</v>
      </c>
      <c r="I142" s="32"/>
      <c r="M142" s="4"/>
      <c r="N142" s="4"/>
      <c r="O142" s="4"/>
    </row>
    <row r="143" spans="1:15" ht="11.25" customHeight="1" x14ac:dyDescent="0.25">
      <c r="A143" s="30" t="s">
        <v>73</v>
      </c>
      <c r="B143" s="31"/>
      <c r="C143" s="32"/>
      <c r="E143" s="83"/>
      <c r="F143" s="35"/>
      <c r="G143" s="62"/>
      <c r="H143" s="93">
        <v>499.91008714260312</v>
      </c>
      <c r="I143" s="32">
        <f t="shared" si="3"/>
        <v>0.88438624572857139</v>
      </c>
      <c r="M143" s="4"/>
      <c r="N143" s="4"/>
      <c r="O143" s="4"/>
    </row>
    <row r="144" spans="1:15" ht="25.5" x14ac:dyDescent="0.25">
      <c r="A144" s="37" t="s">
        <v>61</v>
      </c>
      <c r="B144" s="48">
        <f>1223390/1000</f>
        <v>1223.3900000000001</v>
      </c>
      <c r="C144" s="49">
        <v>100</v>
      </c>
      <c r="E144" s="48">
        <f>1640512/1000</f>
        <v>1640.5119999999999</v>
      </c>
      <c r="F144" s="49">
        <v>100</v>
      </c>
      <c r="G144" s="22"/>
      <c r="H144" s="48">
        <f>H146+H145+H147</f>
        <v>1897.9343450838164</v>
      </c>
      <c r="I144" s="49">
        <f>I146+I145+I147</f>
        <v>100</v>
      </c>
      <c r="M144" s="4"/>
      <c r="N144" s="4"/>
      <c r="O144" s="4"/>
    </row>
    <row r="145" spans="1:15" ht="11.25" customHeight="1" x14ac:dyDescent="0.25">
      <c r="A145" s="30" t="s">
        <v>63</v>
      </c>
      <c r="B145" s="45">
        <f>908160/1000</f>
        <v>908.16</v>
      </c>
      <c r="C145" s="32">
        <v>74.233073672336701</v>
      </c>
      <c r="E145" s="31">
        <f>1332217/1000</f>
        <v>1332.2170000000001</v>
      </c>
      <c r="F145" s="32">
        <v>81.207391350992864</v>
      </c>
      <c r="G145" s="58"/>
      <c r="H145" s="93">
        <v>1468.2890617622863</v>
      </c>
      <c r="I145" s="32">
        <f>H145/$H$144*100</f>
        <v>77.362479137677639</v>
      </c>
      <c r="M145" s="4"/>
      <c r="N145" s="4"/>
      <c r="O145" s="4"/>
    </row>
    <row r="146" spans="1:15" ht="11.25" customHeight="1" x14ac:dyDescent="0.25">
      <c r="A146" s="30" t="s">
        <v>74</v>
      </c>
      <c r="B146" s="45">
        <f>315230/1000</f>
        <v>315.23</v>
      </c>
      <c r="C146" s="32">
        <v>25.766926327663299</v>
      </c>
      <c r="E146" s="31">
        <f>308295/1000</f>
        <v>308.29500000000002</v>
      </c>
      <c r="F146" s="32">
        <v>18.792608649007139</v>
      </c>
      <c r="G146" s="58"/>
      <c r="H146" s="93">
        <v>310.6452833215302</v>
      </c>
      <c r="I146" s="32">
        <f>H146/$H$144*100</f>
        <v>16.367546334054644</v>
      </c>
      <c r="M146" s="4"/>
      <c r="N146" s="4"/>
      <c r="O146" s="4"/>
    </row>
    <row r="147" spans="1:15" ht="14.25" customHeight="1" x14ac:dyDescent="0.25">
      <c r="A147" s="30" t="s">
        <v>75</v>
      </c>
      <c r="B147" s="45"/>
      <c r="C147" s="32"/>
      <c r="E147" s="31"/>
      <c r="F147" s="32"/>
      <c r="G147" s="58"/>
      <c r="H147" s="117">
        <v>119</v>
      </c>
      <c r="I147" s="118">
        <f>H147/$H$144*100</f>
        <v>6.2699745282677171</v>
      </c>
      <c r="M147" s="4"/>
      <c r="N147" s="4"/>
      <c r="O147" s="4"/>
    </row>
    <row r="148" spans="1:15" ht="3.75" customHeight="1" x14ac:dyDescent="0.25">
      <c r="A148" s="67"/>
      <c r="B148" s="67"/>
      <c r="C148" s="67"/>
      <c r="D148" s="67"/>
      <c r="E148" s="67"/>
      <c r="F148" s="67"/>
      <c r="G148" s="67"/>
      <c r="H148" s="67"/>
      <c r="I148" s="67"/>
      <c r="M148" s="4"/>
      <c r="N148" s="4"/>
      <c r="O148" s="4"/>
    </row>
    <row r="149" spans="1:15" x14ac:dyDescent="0.25">
      <c r="A149" s="1"/>
      <c r="B149" s="1"/>
      <c r="C149" s="2"/>
      <c r="E149" s="1"/>
      <c r="F149" s="1"/>
      <c r="H149" s="1"/>
      <c r="I149" s="1"/>
      <c r="M149" s="4"/>
      <c r="N149" s="4"/>
      <c r="O149" s="4"/>
    </row>
    <row r="150" spans="1:15" x14ac:dyDescent="0.25">
      <c r="A150" s="1"/>
      <c r="B150" s="1"/>
      <c r="C150" s="2"/>
      <c r="E150" s="1"/>
      <c r="F150" s="1"/>
      <c r="H150" s="1"/>
      <c r="I150" s="1"/>
    </row>
    <row r="151" spans="1:15" x14ac:dyDescent="0.25">
      <c r="A151" s="1"/>
      <c r="B151" s="1"/>
      <c r="C151" s="2"/>
      <c r="E151" s="1"/>
      <c r="F151" s="1"/>
      <c r="H151" s="1"/>
      <c r="I151" s="1"/>
    </row>
    <row r="152" spans="1:15" x14ac:dyDescent="0.25">
      <c r="A152" s="1"/>
      <c r="B152" s="1"/>
      <c r="C152" s="2"/>
      <c r="E152" s="1"/>
      <c r="F152" s="1"/>
      <c r="H152" s="1"/>
      <c r="I152" s="79" t="s">
        <v>76</v>
      </c>
    </row>
    <row r="153" spans="1:15" ht="15.75" x14ac:dyDescent="0.25">
      <c r="A153" s="383" t="s">
        <v>1</v>
      </c>
      <c r="B153" s="383"/>
      <c r="C153" s="383"/>
      <c r="D153" s="383"/>
      <c r="E153" s="383"/>
      <c r="F153" s="383"/>
      <c r="G153" s="383"/>
      <c r="H153" s="383"/>
      <c r="I153" s="383"/>
    </row>
    <row r="154" spans="1:15" ht="15.75" x14ac:dyDescent="0.25">
      <c r="A154" s="386" t="s">
        <v>2</v>
      </c>
      <c r="B154" s="386"/>
      <c r="C154" s="386"/>
      <c r="D154" s="386"/>
      <c r="E154" s="386"/>
      <c r="F154" s="386"/>
      <c r="G154" s="386"/>
      <c r="H154" s="386"/>
      <c r="I154" s="386"/>
    </row>
    <row r="155" spans="1:15" ht="2.25" customHeight="1" x14ac:dyDescent="0.25">
      <c r="A155" s="1"/>
      <c r="B155" s="1"/>
      <c r="C155" s="2"/>
      <c r="E155" s="1"/>
      <c r="F155" s="1"/>
      <c r="H155" s="1"/>
      <c r="I155" s="1"/>
    </row>
    <row r="156" spans="1:15" ht="11.25" customHeight="1" thickBot="1" x14ac:dyDescent="0.3">
      <c r="A156" s="385" t="s">
        <v>3</v>
      </c>
      <c r="B156" s="384">
        <v>2008</v>
      </c>
      <c r="C156" s="384"/>
      <c r="D156" s="378"/>
      <c r="E156" s="384">
        <v>2009</v>
      </c>
      <c r="F156" s="384"/>
      <c r="H156" s="384" t="s">
        <v>77</v>
      </c>
      <c r="I156" s="384"/>
      <c r="K156" s="384">
        <v>2007</v>
      </c>
      <c r="L156" s="384"/>
    </row>
    <row r="157" spans="1:15" ht="35.25" customHeight="1" x14ac:dyDescent="0.25">
      <c r="A157" s="385"/>
      <c r="B157" s="64" t="s">
        <v>4</v>
      </c>
      <c r="C157" s="64" t="s">
        <v>5</v>
      </c>
      <c r="D157" s="76"/>
      <c r="E157" s="64" t="s">
        <v>4</v>
      </c>
      <c r="F157" s="64" t="s">
        <v>5</v>
      </c>
      <c r="H157" s="64" t="s">
        <v>4</v>
      </c>
      <c r="I157" s="64" t="s">
        <v>5</v>
      </c>
      <c r="K157" s="64" t="s">
        <v>4</v>
      </c>
      <c r="L157" s="64" t="s">
        <v>5</v>
      </c>
      <c r="M157" s="92"/>
    </row>
    <row r="158" spans="1:15" ht="11.25" customHeight="1" x14ac:dyDescent="0.25">
      <c r="A158" s="13" t="s">
        <v>6</v>
      </c>
      <c r="B158" s="14">
        <f>B199+B206+B159</f>
        <v>132489.52200446976</v>
      </c>
      <c r="C158" s="96"/>
      <c r="D158" s="14" t="e">
        <f>D199+D206+D159</f>
        <v>#REF!</v>
      </c>
      <c r="E158" s="14">
        <f>E199+E206+E159</f>
        <v>136500.28166803645</v>
      </c>
      <c r="F158" s="14"/>
      <c r="G158" s="14">
        <f>G199+G206+G159</f>
        <v>0</v>
      </c>
      <c r="H158" s="14">
        <f>H199+H206+H159</f>
        <v>149319.76087606116</v>
      </c>
      <c r="I158" s="16"/>
      <c r="K158" s="14">
        <f>K159+K199+K206</f>
        <v>119732.91884499496</v>
      </c>
      <c r="L158" s="16"/>
      <c r="M158" s="4"/>
    </row>
    <row r="159" spans="1:15" ht="11.25" customHeight="1" x14ac:dyDescent="0.25">
      <c r="A159" s="18" t="s">
        <v>7</v>
      </c>
      <c r="B159" s="19">
        <f>B160+B165+B171+B173+B177+B179+B191+B195</f>
        <v>71295.508621288027</v>
      </c>
      <c r="C159" s="22">
        <f>C160+C165+C171+C173+C177+C179+C191+C195</f>
        <v>100</v>
      </c>
      <c r="D159" s="19" t="e">
        <f>D160+D165+D171+D173+D177+D179+D191+D195+D198+D197</f>
        <v>#REF!</v>
      </c>
      <c r="E159" s="19">
        <f>E160+E165+E171+E173+E177+E179+E191+E195</f>
        <v>81752.567347109463</v>
      </c>
      <c r="F159" s="22">
        <f>F160+F165+F171+F173+F177+F179+F191+F195</f>
        <v>100</v>
      </c>
      <c r="G159" s="19">
        <f>G160+G165+G171+G173+G177+G179+G191+G195+G198+G197</f>
        <v>0</v>
      </c>
      <c r="H159" s="19">
        <f>H160+H165+H171+H173+H177+H179+H191+H195</f>
        <v>92128.607526226377</v>
      </c>
      <c r="I159" s="22">
        <f>I160+I165+I171+I173+I177+I179+I191+I195</f>
        <v>99.999999999999986</v>
      </c>
      <c r="K159" s="19">
        <f>K160+K165+K171+K173+K177+K179+K191+K195</f>
        <v>61308.767639678386</v>
      </c>
      <c r="L159" s="22">
        <f>L160+L165+L173+L177+L179+L191+L195</f>
        <v>99.893793615658041</v>
      </c>
      <c r="M159" s="92"/>
    </row>
    <row r="160" spans="1:15" ht="11.25" customHeight="1" x14ac:dyDescent="0.25">
      <c r="A160" s="24" t="s">
        <v>8</v>
      </c>
      <c r="B160" s="29">
        <f>B161+B162+B163</f>
        <v>15453.180358514464</v>
      </c>
      <c r="C160" s="25">
        <f>B160/$B$159*100</f>
        <v>21.674830094276544</v>
      </c>
      <c r="D160" s="26"/>
      <c r="E160" s="29">
        <f>E161+E162++E163</f>
        <v>16995.821909393428</v>
      </c>
      <c r="F160" s="97">
        <f>F161+F162++F163</f>
        <v>20.78934333307436</v>
      </c>
      <c r="G160" s="29">
        <f>G161+G162++G163</f>
        <v>0</v>
      </c>
      <c r="H160" s="29">
        <f>H161+H162++H163</f>
        <v>14786.414889856655</v>
      </c>
      <c r="I160" s="97">
        <f>I161+I162++I163</f>
        <v>16.049754019832967</v>
      </c>
      <c r="K160" s="27">
        <f>K161+K162+K163</f>
        <v>12417.453492867033</v>
      </c>
      <c r="L160" s="25">
        <f>K160/K159*100</f>
        <v>20.253960356610705</v>
      </c>
      <c r="M160" s="92"/>
    </row>
    <row r="161" spans="1:13" ht="11.25" customHeight="1" x14ac:dyDescent="0.25">
      <c r="A161" s="30" t="s">
        <v>9</v>
      </c>
      <c r="B161" s="36">
        <v>15016.330970141527</v>
      </c>
      <c r="C161" s="32">
        <f>B161/$B$159*100</f>
        <v>21.062099507426506</v>
      </c>
      <c r="D161" s="58"/>
      <c r="E161" s="36">
        <v>16519.419032288853</v>
      </c>
      <c r="F161" s="32">
        <f>E161/$E$159*100</f>
        <v>20.206605820890996</v>
      </c>
      <c r="H161" s="36">
        <v>14254.723405709399</v>
      </c>
      <c r="I161" s="32">
        <f>H161/$H$159*100</f>
        <v>15.472635252466491</v>
      </c>
      <c r="K161" s="33">
        <v>12098.771203001821</v>
      </c>
      <c r="L161" s="32">
        <f>K161/K159*100</f>
        <v>19.73416147280642</v>
      </c>
      <c r="M161" s="92"/>
    </row>
    <row r="162" spans="1:13" ht="11.25" customHeight="1" x14ac:dyDescent="0.25">
      <c r="A162" s="30" t="s">
        <v>10</v>
      </c>
      <c r="B162" s="36">
        <v>430.09298837293647</v>
      </c>
      <c r="C162" s="32">
        <f>B162/$B$159*100</f>
        <v>0.60325397306235873</v>
      </c>
      <c r="D162" s="58"/>
      <c r="E162" s="36">
        <v>467.08276910457437</v>
      </c>
      <c r="F162" s="32">
        <f>E162/$E$159*100</f>
        <v>0.57133712647996626</v>
      </c>
      <c r="H162" s="36">
        <v>515.20054814725597</v>
      </c>
      <c r="I162" s="32">
        <f>H162/$H$159*100</f>
        <v>0.55921885935440097</v>
      </c>
      <c r="K162" s="36">
        <v>301.41835786521199</v>
      </c>
      <c r="L162" s="32">
        <f>K162/K159*100</f>
        <v>0.49163989013234904</v>
      </c>
      <c r="M162" s="92"/>
    </row>
    <row r="163" spans="1:13" s="4" customFormat="1" ht="11.25" customHeight="1" x14ac:dyDescent="0.25">
      <c r="A163" s="20" t="s">
        <v>65</v>
      </c>
      <c r="B163" s="99">
        <v>6.7564000000000002</v>
      </c>
      <c r="C163" s="58">
        <f>B163/$B$159*100</f>
        <v>9.4766137876778067E-3</v>
      </c>
      <c r="D163" s="99"/>
      <c r="E163" s="99">
        <v>9.3201079999999994</v>
      </c>
      <c r="F163" s="58">
        <f>E163/$E$159*100</f>
        <v>1.1400385703397157E-2</v>
      </c>
      <c r="G163" s="99"/>
      <c r="H163" s="99">
        <v>16.490936000000001</v>
      </c>
      <c r="I163" s="58">
        <f>H163/$H$159*100</f>
        <v>1.7899908012074865E-2</v>
      </c>
      <c r="J163" s="1"/>
      <c r="K163" s="36">
        <v>17.263932</v>
      </c>
      <c r="L163" s="32">
        <f>K163/K159*100</f>
        <v>2.8158993671937659E-2</v>
      </c>
      <c r="M163" s="92"/>
    </row>
    <row r="164" spans="1:13" s="4" customFormat="1" ht="8.25" customHeight="1" x14ac:dyDescent="0.25">
      <c r="A164" s="20"/>
      <c r="B164" s="99"/>
      <c r="C164" s="58"/>
      <c r="D164" s="99"/>
      <c r="E164" s="99"/>
      <c r="F164" s="58"/>
      <c r="G164" s="99"/>
      <c r="H164" s="99"/>
      <c r="I164" s="99"/>
      <c r="J164" s="1"/>
      <c r="M164" s="92"/>
    </row>
    <row r="165" spans="1:13" ht="24.75" customHeight="1" x14ac:dyDescent="0.25">
      <c r="A165" s="104" t="s">
        <v>11</v>
      </c>
      <c r="B165" s="21">
        <f t="shared" ref="B165:I165" si="4">B166+B167+B168+B169</f>
        <v>11611.419423645848</v>
      </c>
      <c r="C165" s="38">
        <f t="shared" si="4"/>
        <v>16.286326653932885</v>
      </c>
      <c r="D165" s="21">
        <f t="shared" si="4"/>
        <v>0</v>
      </c>
      <c r="E165" s="21">
        <f t="shared" si="4"/>
        <v>12176.437495099839</v>
      </c>
      <c r="F165" s="38">
        <f t="shared" si="4"/>
        <v>14.89425701262746</v>
      </c>
      <c r="G165" s="21">
        <f t="shared" si="4"/>
        <v>0</v>
      </c>
      <c r="H165" s="21">
        <f t="shared" si="4"/>
        <v>13185.676202107736</v>
      </c>
      <c r="I165" s="38">
        <f t="shared" si="4"/>
        <v>14.312249534819195</v>
      </c>
      <c r="K165" s="23">
        <f>K166+K167+K168+K169</f>
        <v>10803.482295554688</v>
      </c>
      <c r="L165" s="38">
        <f>L166+L167+L168+L169</f>
        <v>17.621431177753418</v>
      </c>
      <c r="M165" s="92"/>
    </row>
    <row r="166" spans="1:13" ht="11.25" customHeight="1" x14ac:dyDescent="0.25">
      <c r="A166" s="30" t="s">
        <v>12</v>
      </c>
      <c r="B166" s="36">
        <v>5503.7850389599116</v>
      </c>
      <c r="C166" s="32">
        <f>B166/$B$159*100</f>
        <v>7.7196798864221083</v>
      </c>
      <c r="D166" s="58"/>
      <c r="E166" s="36">
        <v>5952.3537530530502</v>
      </c>
      <c r="F166" s="32">
        <f>E166/$E$159*100</f>
        <v>7.2809380135797142</v>
      </c>
      <c r="H166" s="36">
        <v>6630.8621322780473</v>
      </c>
      <c r="I166" s="32">
        <f>H166/$H$159*100</f>
        <v>7.1973975405960973</v>
      </c>
      <c r="K166" s="33">
        <v>4832.9120000000003</v>
      </c>
      <c r="L166" s="32">
        <f>K166/$K$159*100</f>
        <v>7.8829051472765057</v>
      </c>
      <c r="M166" s="92"/>
    </row>
    <row r="167" spans="1:13" ht="11.25" customHeight="1" x14ac:dyDescent="0.25">
      <c r="A167" s="30" t="s">
        <v>13</v>
      </c>
      <c r="B167" s="36">
        <v>769.87816905867703</v>
      </c>
      <c r="C167" s="32">
        <f>B167/$B$159*100</f>
        <v>1.0798410502240252</v>
      </c>
      <c r="D167" s="58"/>
      <c r="E167" s="36">
        <v>748.40610372511037</v>
      </c>
      <c r="F167" s="32">
        <f>E167/$E$159*100</f>
        <v>0.9154527227842123</v>
      </c>
      <c r="H167" s="36">
        <v>544.38300000000004</v>
      </c>
      <c r="I167" s="32">
        <f>H167/$H$159*100</f>
        <v>0.59089463589800795</v>
      </c>
      <c r="K167" s="36">
        <v>888.39860951109017</v>
      </c>
      <c r="L167" s="32">
        <f>K167/$K$159*100</f>
        <v>1.4490563808627723</v>
      </c>
      <c r="M167" s="92"/>
    </row>
    <row r="168" spans="1:13" ht="11.25" customHeight="1" x14ac:dyDescent="0.25">
      <c r="A168" s="30" t="s">
        <v>14</v>
      </c>
      <c r="B168" s="36">
        <v>3203.1053383499998</v>
      </c>
      <c r="C168" s="32">
        <f>B168/$B$159*100</f>
        <v>4.4927168629435785</v>
      </c>
      <c r="D168" s="58"/>
      <c r="E168" s="36">
        <v>3388.8099362528251</v>
      </c>
      <c r="F168" s="32">
        <f>E168/$E$159*100</f>
        <v>4.145203075842784</v>
      </c>
      <c r="H168" s="36">
        <v>2725.9897457588891</v>
      </c>
      <c r="I168" s="32">
        <f>H168/$H$159*100</f>
        <v>2.958896068176085</v>
      </c>
      <c r="K168" s="36">
        <v>3403.1340610554407</v>
      </c>
      <c r="L168" s="32">
        <f>K168/$K$159*100</f>
        <v>5.5508113962691503</v>
      </c>
      <c r="M168" s="92"/>
    </row>
    <row r="169" spans="1:13" ht="11.25" customHeight="1" x14ac:dyDescent="0.25">
      <c r="A169" s="30" t="s">
        <v>15</v>
      </c>
      <c r="B169" s="36">
        <v>2134.65087727726</v>
      </c>
      <c r="C169" s="32">
        <f>B169/$B$159*100</f>
        <v>2.9940888543431718</v>
      </c>
      <c r="D169" s="58"/>
      <c r="E169" s="36">
        <v>2086.8677020688533</v>
      </c>
      <c r="F169" s="32">
        <f>E169/$E$159*100</f>
        <v>2.5526632004207501</v>
      </c>
      <c r="H169" s="36">
        <v>3284.4413240708</v>
      </c>
      <c r="I169" s="32">
        <f>H169/$H$159*100</f>
        <v>3.5650612901490053</v>
      </c>
      <c r="K169" s="36">
        <v>1679.0376249881554</v>
      </c>
      <c r="L169" s="32">
        <f>K169/$K$159*100</f>
        <v>2.7386582533449912</v>
      </c>
      <c r="M169" s="92"/>
    </row>
    <row r="170" spans="1:13" ht="3.75" customHeight="1" x14ac:dyDescent="0.25">
      <c r="A170" s="30"/>
      <c r="B170" s="31"/>
      <c r="C170" s="32"/>
      <c r="D170" s="58"/>
      <c r="E170" s="29"/>
      <c r="F170" s="32"/>
      <c r="H170" s="31"/>
      <c r="I170" s="32"/>
      <c r="K170" s="40"/>
      <c r="L170" s="25"/>
      <c r="M170" s="92"/>
    </row>
    <row r="171" spans="1:13" ht="11.25" customHeight="1" x14ac:dyDescent="0.25">
      <c r="A171" s="24" t="s">
        <v>16</v>
      </c>
      <c r="B171" s="29">
        <f t="shared" ref="B171:K171" si="5">B172</f>
        <v>69.081094378805247</v>
      </c>
      <c r="C171" s="38">
        <f t="shared" si="5"/>
        <v>9.6894034020788819E-2</v>
      </c>
      <c r="D171" s="29">
        <f t="shared" si="5"/>
        <v>0</v>
      </c>
      <c r="E171" s="29">
        <f t="shared" si="5"/>
        <v>125.45023964290306</v>
      </c>
      <c r="F171" s="38">
        <f t="shared" si="5"/>
        <v>0.1534511315225853</v>
      </c>
      <c r="G171" s="29">
        <f t="shared" si="5"/>
        <v>0</v>
      </c>
      <c r="H171" s="29">
        <f t="shared" si="5"/>
        <v>107.5037180220553</v>
      </c>
      <c r="I171" s="38">
        <f t="shared" si="5"/>
        <v>0.11668874729432123</v>
      </c>
      <c r="J171" s="38">
        <f t="shared" si="5"/>
        <v>0</v>
      </c>
      <c r="K171" s="128">
        <f t="shared" si="5"/>
        <v>65.113825394722227</v>
      </c>
      <c r="L171" s="25">
        <f t="shared" ref="L171:L177" si="6">K171/$K$159*100</f>
        <v>0.10620638434197011</v>
      </c>
      <c r="M171" s="92"/>
    </row>
    <row r="172" spans="1:13" ht="11.25" customHeight="1" x14ac:dyDescent="0.25">
      <c r="A172" s="30" t="s">
        <v>18</v>
      </c>
      <c r="B172" s="93">
        <v>69.081094378805247</v>
      </c>
      <c r="C172" s="32">
        <f>B172/B159*100</f>
        <v>9.6894034020788819E-2</v>
      </c>
      <c r="D172" s="58"/>
      <c r="E172" s="36">
        <v>125.45023964290306</v>
      </c>
      <c r="F172" s="32">
        <f>E172/E159*100</f>
        <v>0.1534511315225853</v>
      </c>
      <c r="H172" s="93">
        <v>107.5037180220553</v>
      </c>
      <c r="I172" s="32">
        <f>H172/H159*100</f>
        <v>0.11668874729432123</v>
      </c>
      <c r="K172" s="93">
        <v>65.113825394722227</v>
      </c>
      <c r="L172" s="32">
        <f t="shared" si="6"/>
        <v>0.10620638434197011</v>
      </c>
      <c r="M172" s="92"/>
    </row>
    <row r="173" spans="1:13" ht="11.25" customHeight="1" x14ac:dyDescent="0.25">
      <c r="A173" s="24" t="s">
        <v>21</v>
      </c>
      <c r="B173" s="29">
        <f>B174+B175+B176</f>
        <v>1676.6198926048071</v>
      </c>
      <c r="C173" s="25">
        <f>C174+C175+C176</f>
        <v>2.3516486873118225</v>
      </c>
      <c r="D173" s="29"/>
      <c r="E173" s="29">
        <f>E174+E175+E176</f>
        <v>2182.8880560336615</v>
      </c>
      <c r="F173" s="38">
        <f>F174+F175+F176</f>
        <v>2.6701156023216219</v>
      </c>
      <c r="G173" s="29">
        <f>G174+G175+G176</f>
        <v>0</v>
      </c>
      <c r="H173" s="29">
        <f>H174+H175+H176</f>
        <v>2374.6194971267496</v>
      </c>
      <c r="I173" s="38">
        <f>I174+I175+I176</f>
        <v>2.5775050344169843</v>
      </c>
      <c r="K173" s="29">
        <f>K174+K175+K176</f>
        <v>2156.4837862830818</v>
      </c>
      <c r="L173" s="25">
        <f t="shared" si="6"/>
        <v>3.5174149951228646</v>
      </c>
      <c r="M173" s="92"/>
    </row>
    <row r="174" spans="1:13" ht="11.25" customHeight="1" x14ac:dyDescent="0.25">
      <c r="A174" s="30" t="s">
        <v>22</v>
      </c>
      <c r="B174" s="36">
        <v>891.87499796314819</v>
      </c>
      <c r="C174" s="32">
        <f>B174/$B$159*100</f>
        <v>1.2509553760260916</v>
      </c>
      <c r="D174" s="58"/>
      <c r="E174" s="36">
        <v>1292.7387877015601</v>
      </c>
      <c r="F174" s="32">
        <f>E174/$E$159*100</f>
        <v>1.5812821904574323</v>
      </c>
      <c r="H174" s="36">
        <v>1575.1919091717311</v>
      </c>
      <c r="I174" s="32">
        <f>H174/$H$159*100</f>
        <v>1.7097750106809324</v>
      </c>
      <c r="K174" s="36">
        <v>1206.4544438956125</v>
      </c>
      <c r="L174" s="32">
        <f t="shared" si="6"/>
        <v>1.9678334606008423</v>
      </c>
      <c r="M174" s="92"/>
    </row>
    <row r="175" spans="1:13" ht="11.25" customHeight="1" x14ac:dyDescent="0.25">
      <c r="A175" s="30" t="s">
        <v>23</v>
      </c>
      <c r="B175" s="36">
        <v>459.71889873087213</v>
      </c>
      <c r="C175" s="32">
        <f>B175/$B$159*100</f>
        <v>0.64480765706131071</v>
      </c>
      <c r="D175" s="58"/>
      <c r="E175" s="36">
        <v>602.0435582909563</v>
      </c>
      <c r="F175" s="32">
        <f>E175/$E$159*100</f>
        <v>0.73642159240671579</v>
      </c>
      <c r="H175" s="36">
        <v>581.27750216529046</v>
      </c>
      <c r="I175" s="32">
        <f>H175/$H$159*100</f>
        <v>0.63094137399158823</v>
      </c>
      <c r="K175" s="36">
        <v>474.0240484908889</v>
      </c>
      <c r="L175" s="32">
        <f t="shared" si="6"/>
        <v>0.77317497438018234</v>
      </c>
      <c r="M175" s="92"/>
    </row>
    <row r="176" spans="1:13" ht="11.25" customHeight="1" x14ac:dyDescent="0.25">
      <c r="A176" s="30" t="s">
        <v>24</v>
      </c>
      <c r="B176" s="93">
        <v>325.02599591078678</v>
      </c>
      <c r="C176" s="32">
        <f>B176/$B$159*100</f>
        <v>0.45588565422442007</v>
      </c>
      <c r="D176" s="58"/>
      <c r="E176" s="93">
        <v>288.1057100411453</v>
      </c>
      <c r="F176" s="32">
        <f>E176/$E$159*100</f>
        <v>0.35241181945747407</v>
      </c>
      <c r="H176" s="93">
        <v>218.15008578972802</v>
      </c>
      <c r="I176" s="32">
        <f>H176/$H$159*100</f>
        <v>0.23678864974446392</v>
      </c>
      <c r="K176" s="33">
        <v>476.00529389658027</v>
      </c>
      <c r="L176" s="32">
        <f t="shared" si="6"/>
        <v>0.77640656014183962</v>
      </c>
      <c r="M176" s="92"/>
    </row>
    <row r="177" spans="1:25" ht="27.75" customHeight="1" x14ac:dyDescent="0.25">
      <c r="A177" s="104" t="str">
        <f>A99</f>
        <v>RAICES, BULBOS Y TUBERCULOS</v>
      </c>
      <c r="B177" s="110">
        <v>6145.4917591659696</v>
      </c>
      <c r="C177" s="38">
        <f>B177/B159*100</f>
        <v>8.6197460092612275</v>
      </c>
      <c r="D177" s="82" t="e">
        <f>SUM(#REF!)</f>
        <v>#REF!</v>
      </c>
      <c r="E177" s="110">
        <v>5545.2903402726206</v>
      </c>
      <c r="F177" s="38">
        <f>E177/E159*100</f>
        <v>6.7830167543584636</v>
      </c>
      <c r="H177" s="110">
        <v>7146.8068448325303</v>
      </c>
      <c r="I177" s="38">
        <f>H177/H159*100</f>
        <v>7.7574241451527843</v>
      </c>
      <c r="K177" s="110">
        <v>4977.9859354078335</v>
      </c>
      <c r="L177" s="38">
        <f t="shared" si="6"/>
        <v>8.1195335138104028</v>
      </c>
      <c r="M177" s="92"/>
    </row>
    <row r="178" spans="1:25" ht="2.25" customHeight="1" x14ac:dyDescent="0.25">
      <c r="A178" s="30"/>
      <c r="B178" s="39"/>
      <c r="C178" s="35"/>
      <c r="D178" s="62"/>
      <c r="E178" s="35"/>
      <c r="F178" s="42"/>
      <c r="H178" s="39"/>
      <c r="I178" s="42"/>
      <c r="M178" s="92"/>
    </row>
    <row r="179" spans="1:25" ht="11.25" customHeight="1" x14ac:dyDescent="0.25">
      <c r="A179" s="24" t="s">
        <v>34</v>
      </c>
      <c r="B179" s="29">
        <f t="shared" ref="B179:I179" si="7">B180+B181+B182+B183+B185+B186+B187+B184+B188+B189</f>
        <v>9069.5023945143203</v>
      </c>
      <c r="C179" s="38">
        <f t="shared" si="7"/>
        <v>12.721001041861237</v>
      </c>
      <c r="D179" s="29">
        <f t="shared" si="7"/>
        <v>0</v>
      </c>
      <c r="E179" s="29">
        <f t="shared" si="7"/>
        <v>13005.384161583412</v>
      </c>
      <c r="F179" s="38">
        <f t="shared" si="7"/>
        <v>15.908227207549887</v>
      </c>
      <c r="G179" s="29">
        <f t="shared" si="7"/>
        <v>0</v>
      </c>
      <c r="H179" s="29">
        <f t="shared" si="7"/>
        <v>20040.866712867042</v>
      </c>
      <c r="I179" s="38">
        <f t="shared" si="7"/>
        <v>21.753141886098717</v>
      </c>
      <c r="K179" s="29">
        <f>K180+K188+K182+K183+K184+K185+K186+K187+K189</f>
        <v>9295.7329903511509</v>
      </c>
      <c r="L179" s="38">
        <f>L180+L182+L183+L184+L185+L186+L187+L188+L189</f>
        <v>15.162159260782547</v>
      </c>
      <c r="W179" s="4"/>
      <c r="Y179"/>
    </row>
    <row r="180" spans="1:25" ht="11.25" customHeight="1" x14ac:dyDescent="0.25">
      <c r="A180" s="30" t="s">
        <v>35</v>
      </c>
      <c r="B180" s="36">
        <v>2145.7224672812295</v>
      </c>
      <c r="C180" s="32">
        <f>B180/$B$159*100</f>
        <v>3.0096180092900564</v>
      </c>
      <c r="D180" s="58"/>
      <c r="E180" s="36">
        <v>2586.9977252868798</v>
      </c>
      <c r="F180" s="32">
        <f>E180/$E$159*100</f>
        <v>3.1644238330802077</v>
      </c>
      <c r="H180" s="36">
        <v>3268.2043095963472</v>
      </c>
      <c r="I180" s="32">
        <f>H180/$H$159*100</f>
        <v>3.5474369985088323</v>
      </c>
      <c r="K180" s="36">
        <v>1574.9651906479057</v>
      </c>
      <c r="L180" s="32">
        <f>K180/$K$159*100</f>
        <v>2.568906946399955</v>
      </c>
      <c r="W180" s="4"/>
      <c r="Y180"/>
    </row>
    <row r="181" spans="1:25" s="4" customFormat="1" ht="11.25" hidden="1" customHeight="1" x14ac:dyDescent="0.25">
      <c r="A181" s="20"/>
      <c r="B181" s="63"/>
      <c r="C181" s="58"/>
      <c r="D181" s="63"/>
      <c r="E181" s="63"/>
      <c r="F181" s="58"/>
      <c r="G181" s="63"/>
      <c r="H181" s="63"/>
      <c r="I181" s="58"/>
      <c r="J181" s="1"/>
      <c r="K181" s="92"/>
      <c r="L181" s="32">
        <f t="shared" ref="L181:L189" si="8">K181/$K$159*100</f>
        <v>0</v>
      </c>
    </row>
    <row r="182" spans="1:25" ht="11.25" customHeight="1" x14ac:dyDescent="0.25">
      <c r="A182" s="30" t="s">
        <v>37</v>
      </c>
      <c r="B182" s="36">
        <v>545.78666718888894</v>
      </c>
      <c r="C182" s="32">
        <f t="shared" ref="C182:C189" si="9">B182/$B$159*100</f>
        <v>0.76552741924885193</v>
      </c>
      <c r="D182" s="58"/>
      <c r="E182" s="36">
        <v>911.08991966666667</v>
      </c>
      <c r="F182" s="32">
        <f t="shared" ref="F182:F189" si="10">E182/$E$159*100</f>
        <v>1.1144480830776995</v>
      </c>
      <c r="H182" s="36">
        <v>1379.1612089516666</v>
      </c>
      <c r="I182" s="32">
        <f t="shared" ref="I182:I188" si="11">H182/$H$159*100</f>
        <v>1.4969956086214142</v>
      </c>
      <c r="K182" s="36">
        <v>599.75996835555554</v>
      </c>
      <c r="L182" s="32">
        <f t="shared" si="8"/>
        <v>0.97826133430122508</v>
      </c>
      <c r="W182" s="4"/>
      <c r="Y182"/>
    </row>
    <row r="183" spans="1:25" ht="11.25" customHeight="1" x14ac:dyDescent="0.25">
      <c r="A183" s="30" t="s">
        <v>38</v>
      </c>
      <c r="B183" s="36">
        <v>338.19583424305557</v>
      </c>
      <c r="C183" s="32">
        <f t="shared" si="9"/>
        <v>0.47435783934091202</v>
      </c>
      <c r="D183" s="58"/>
      <c r="E183" s="36">
        <v>219.0260589736458</v>
      </c>
      <c r="F183" s="32">
        <f t="shared" si="10"/>
        <v>0.26791337089597828</v>
      </c>
      <c r="H183" s="36">
        <v>216.68227764272851</v>
      </c>
      <c r="I183" s="32">
        <f t="shared" si="11"/>
        <v>0.23519543327629833</v>
      </c>
      <c r="K183" s="36">
        <v>290.98095755208334</v>
      </c>
      <c r="L183" s="32">
        <f t="shared" si="8"/>
        <v>0.47461557091185685</v>
      </c>
      <c r="W183" s="4"/>
      <c r="Y183"/>
    </row>
    <row r="184" spans="1:25" s="4" customFormat="1" ht="11.25" customHeight="1" x14ac:dyDescent="0.25">
      <c r="A184" s="20" t="s">
        <v>67</v>
      </c>
      <c r="B184" s="99">
        <v>270.71997504474359</v>
      </c>
      <c r="C184" s="58">
        <f>B184/$B$159*100</f>
        <v>0.37971532888946902</v>
      </c>
      <c r="D184" s="99"/>
      <c r="E184" s="99">
        <v>243.43757862623599</v>
      </c>
      <c r="F184" s="58">
        <f>E184/$E$159*100</f>
        <v>0.29777361925850665</v>
      </c>
      <c r="G184" s="99"/>
      <c r="H184" s="99">
        <v>301.95572826828362</v>
      </c>
      <c r="I184" s="58">
        <f>H184/$H$159*100</f>
        <v>0.32775457740672514</v>
      </c>
      <c r="J184" s="1"/>
      <c r="K184" s="36">
        <v>240.09249122429907</v>
      </c>
      <c r="L184" s="32">
        <f t="shared" si="8"/>
        <v>0.39161200015528241</v>
      </c>
    </row>
    <row r="185" spans="1:25" ht="11.25" customHeight="1" x14ac:dyDescent="0.25">
      <c r="A185" s="30" t="s">
        <v>39</v>
      </c>
      <c r="B185" s="36">
        <v>845.59363881994364</v>
      </c>
      <c r="C185" s="32">
        <f t="shared" si="9"/>
        <v>1.1860405447299931</v>
      </c>
      <c r="D185" s="58"/>
      <c r="E185" s="36">
        <v>743.55953008794734</v>
      </c>
      <c r="F185" s="32">
        <f t="shared" si="10"/>
        <v>0.90952437852000678</v>
      </c>
      <c r="H185" s="36">
        <v>1215.3499766311381</v>
      </c>
      <c r="I185" s="32">
        <f t="shared" si="11"/>
        <v>1.3191884793061295</v>
      </c>
      <c r="K185" s="36">
        <v>656.22294880417269</v>
      </c>
      <c r="L185" s="32">
        <f t="shared" si="8"/>
        <v>1.0703574285833013</v>
      </c>
      <c r="W185" s="4"/>
      <c r="Y185"/>
    </row>
    <row r="186" spans="1:25" ht="11.25" customHeight="1" x14ac:dyDescent="0.25">
      <c r="A186" s="30" t="s">
        <v>40</v>
      </c>
      <c r="B186" s="36">
        <v>1337.2920743875</v>
      </c>
      <c r="C186" s="32">
        <f t="shared" si="9"/>
        <v>1.8757031126476875</v>
      </c>
      <c r="D186" s="58"/>
      <c r="E186" s="36">
        <v>4880.7112016666661</v>
      </c>
      <c r="F186" s="32">
        <f t="shared" si="10"/>
        <v>5.9701014415166664</v>
      </c>
      <c r="H186" s="36">
        <v>7958.9032674427781</v>
      </c>
      <c r="I186" s="32">
        <f t="shared" si="11"/>
        <v>8.6389054183599878</v>
      </c>
      <c r="K186" s="36">
        <v>2818.8050215111107</v>
      </c>
      <c r="L186" s="32">
        <f t="shared" si="8"/>
        <v>4.5977192659909374</v>
      </c>
      <c r="W186" s="4"/>
      <c r="Y186"/>
    </row>
    <row r="187" spans="1:25" ht="11.25" customHeight="1" x14ac:dyDescent="0.25">
      <c r="A187" s="30" t="s">
        <v>41</v>
      </c>
      <c r="B187" s="36">
        <v>2408.5993774120479</v>
      </c>
      <c r="C187" s="32">
        <f t="shared" si="9"/>
        <v>3.3783325541671885</v>
      </c>
      <c r="D187" s="58"/>
      <c r="E187" s="36">
        <v>2415.1516299083332</v>
      </c>
      <c r="F187" s="32">
        <f t="shared" si="10"/>
        <v>2.9542211434828118</v>
      </c>
      <c r="H187" s="36">
        <v>4170.4547013499996</v>
      </c>
      <c r="I187" s="32">
        <f t="shared" si="11"/>
        <v>4.5267749218534439</v>
      </c>
      <c r="K187" s="36">
        <v>2266.8461435798613</v>
      </c>
      <c r="L187" s="32">
        <f t="shared" si="8"/>
        <v>3.6974257204165077</v>
      </c>
      <c r="W187" s="4"/>
      <c r="Y187"/>
    </row>
    <row r="188" spans="1:25" s="4" customFormat="1" ht="11.25" customHeight="1" x14ac:dyDescent="0.25">
      <c r="A188" s="20" t="s">
        <v>68</v>
      </c>
      <c r="B188" s="99">
        <v>950.57028108335601</v>
      </c>
      <c r="C188" s="58">
        <f t="shared" si="9"/>
        <v>1.3332821372137971</v>
      </c>
      <c r="D188" s="99"/>
      <c r="E188" s="99">
        <v>775.28129478555502</v>
      </c>
      <c r="F188" s="58">
        <f t="shared" si="10"/>
        <v>0.94832654183669096</v>
      </c>
      <c r="G188" s="99"/>
      <c r="H188" s="99">
        <v>1210.6253874042384</v>
      </c>
      <c r="I188" s="58">
        <f t="shared" si="11"/>
        <v>1.3140602250605036</v>
      </c>
      <c r="J188" s="1"/>
      <c r="K188" s="36">
        <v>715.87026501707135</v>
      </c>
      <c r="L188" s="32">
        <f t="shared" si="8"/>
        <v>1.1676474549681988</v>
      </c>
    </row>
    <row r="189" spans="1:25" ht="11.25" customHeight="1" x14ac:dyDescent="0.25">
      <c r="A189" s="30" t="s">
        <v>42</v>
      </c>
      <c r="B189" s="93">
        <v>227.02207905355434</v>
      </c>
      <c r="C189" s="32">
        <f t="shared" si="9"/>
        <v>0.31842409633328306</v>
      </c>
      <c r="D189" s="62"/>
      <c r="E189" s="93">
        <v>230.12922258148302</v>
      </c>
      <c r="F189" s="32">
        <f t="shared" si="10"/>
        <v>0.28149479588131826</v>
      </c>
      <c r="H189" s="93">
        <v>319.52985557986119</v>
      </c>
      <c r="I189" s="32">
        <f>H189/$H$159*100</f>
        <v>0.34683022370537858</v>
      </c>
      <c r="K189" s="94">
        <v>132.19000365909025</v>
      </c>
      <c r="L189" s="32">
        <f t="shared" si="8"/>
        <v>0.21561353905528233</v>
      </c>
      <c r="M189" s="92"/>
    </row>
    <row r="190" spans="1:25" ht="2.25" customHeight="1" x14ac:dyDescent="0.25">
      <c r="A190" s="30"/>
      <c r="B190" s="93"/>
      <c r="C190" s="32"/>
      <c r="D190" s="62"/>
      <c r="E190" s="93"/>
      <c r="F190" s="32"/>
      <c r="H190" s="93"/>
      <c r="I190" s="32"/>
      <c r="M190" s="92"/>
    </row>
    <row r="191" spans="1:25" ht="11.25" customHeight="1" x14ac:dyDescent="0.25">
      <c r="A191" s="24" t="s">
        <v>43</v>
      </c>
      <c r="B191" s="29">
        <f t="shared" ref="B191:I191" si="12">SUM(B192:B194)</f>
        <v>11106.22238095491</v>
      </c>
      <c r="C191" s="38">
        <f t="shared" si="12"/>
        <v>15.577730765551646</v>
      </c>
      <c r="D191" s="29">
        <f t="shared" si="12"/>
        <v>0</v>
      </c>
      <c r="E191" s="29">
        <f t="shared" si="12"/>
        <v>14312.186609244724</v>
      </c>
      <c r="F191" s="38">
        <f t="shared" si="12"/>
        <v>17.506712111531947</v>
      </c>
      <c r="G191" s="29">
        <f t="shared" si="12"/>
        <v>0</v>
      </c>
      <c r="H191" s="29">
        <f t="shared" si="12"/>
        <v>14783.222181270112</v>
      </c>
      <c r="I191" s="38">
        <f t="shared" si="12"/>
        <v>16.046288528850013</v>
      </c>
      <c r="K191" s="29">
        <f>SUM(K192:K194)</f>
        <v>7992.9883010872381</v>
      </c>
      <c r="L191" s="25">
        <f>SUM(L192:L194)</f>
        <v>13.037267928892867</v>
      </c>
      <c r="M191" s="92"/>
    </row>
    <row r="192" spans="1:25" ht="11.25" customHeight="1" x14ac:dyDescent="0.25">
      <c r="A192" s="30" t="s">
        <v>44</v>
      </c>
      <c r="B192" s="36">
        <v>4277.1562284443071</v>
      </c>
      <c r="C192" s="32">
        <f>B192/$B$159*100</f>
        <v>5.9991944950753844</v>
      </c>
      <c r="D192" s="58"/>
      <c r="E192" s="36">
        <v>6286.5923811954426</v>
      </c>
      <c r="F192" s="32">
        <f>E192/$E$159*100</f>
        <v>7.689779764962597</v>
      </c>
      <c r="H192" s="36">
        <v>5354.7768647512858</v>
      </c>
      <c r="I192" s="32">
        <f>H192/$H$159*100</f>
        <v>5.8122845970801569</v>
      </c>
      <c r="K192" s="36">
        <v>3172.6525984864056</v>
      </c>
      <c r="L192" s="32">
        <f>K192/$K$159*100</f>
        <v>5.1748758303748685</v>
      </c>
      <c r="M192" s="92"/>
    </row>
    <row r="193" spans="1:13" s="4" customFormat="1" ht="11.25" customHeight="1" x14ac:dyDescent="0.25">
      <c r="A193" s="20" t="s">
        <v>69</v>
      </c>
      <c r="B193" s="50">
        <v>364.84143842127202</v>
      </c>
      <c r="C193" s="58">
        <f>B193/$B$159*100</f>
        <v>0.51173130745059936</v>
      </c>
      <c r="D193" s="50"/>
      <c r="E193" s="50">
        <v>291.70058060033921</v>
      </c>
      <c r="F193" s="58">
        <f>E193/$E$159*100</f>
        <v>0.35680907654168359</v>
      </c>
      <c r="G193" s="50"/>
      <c r="H193" s="50">
        <v>782.5448848846828</v>
      </c>
      <c r="I193" s="58">
        <f>H193/$H$159*100</f>
        <v>0.8494048763972849</v>
      </c>
      <c r="J193" s="1"/>
      <c r="K193" s="93">
        <v>290.42089653944447</v>
      </c>
      <c r="L193" s="32">
        <f>K193/$K$159*100</f>
        <v>0.47370206207095106</v>
      </c>
      <c r="M193" s="92"/>
    </row>
    <row r="194" spans="1:13" ht="11.25" customHeight="1" x14ac:dyDescent="0.25">
      <c r="A194" s="30" t="s">
        <v>47</v>
      </c>
      <c r="B194" s="93">
        <v>6464.2247140893323</v>
      </c>
      <c r="C194" s="32">
        <f>B194/$B$159*100</f>
        <v>9.0668049630256622</v>
      </c>
      <c r="D194" s="62"/>
      <c r="E194" s="93">
        <v>7733.893647448941</v>
      </c>
      <c r="F194" s="32">
        <f>E194/$E$159*100</f>
        <v>9.4601232700276654</v>
      </c>
      <c r="H194" s="36">
        <v>8645.9004316341434</v>
      </c>
      <c r="I194" s="32">
        <f>H194/$H$159*100</f>
        <v>9.3845990553725702</v>
      </c>
      <c r="K194" s="93">
        <v>4529.9148060613879</v>
      </c>
      <c r="L194" s="32">
        <f>K194/$K$159*100</f>
        <v>7.3886900364470458</v>
      </c>
      <c r="M194" s="92"/>
    </row>
    <row r="195" spans="1:13" ht="11.25" customHeight="1" x14ac:dyDescent="0.25">
      <c r="A195" s="24" t="s">
        <v>48</v>
      </c>
      <c r="B195" s="29">
        <f>+B196+B198+B197</f>
        <v>16163.991317508899</v>
      </c>
      <c r="C195" s="38">
        <f>C196+C198+C197</f>
        <v>22.671822713783847</v>
      </c>
      <c r="D195" s="29">
        <f>D196</f>
        <v>0</v>
      </c>
      <c r="E195" s="29">
        <f>E196+E198+E197</f>
        <v>17409.108535838881</v>
      </c>
      <c r="F195" s="38">
        <f>F196+F198+F197</f>
        <v>21.294876847013683</v>
      </c>
      <c r="G195" s="29">
        <f>G196</f>
        <v>0</v>
      </c>
      <c r="H195" s="29">
        <f>H196+H198+H197</f>
        <v>19703.497480143484</v>
      </c>
      <c r="I195" s="38">
        <f>I196+I198+I197</f>
        <v>21.386948103535008</v>
      </c>
      <c r="K195" s="44">
        <f>K196+K198+K197</f>
        <v>13599.527012732644</v>
      </c>
      <c r="L195" s="25">
        <f>K195/$H$79*100</f>
        <v>22.18202638268523</v>
      </c>
      <c r="M195" s="92"/>
    </row>
    <row r="196" spans="1:13" ht="11.25" customHeight="1" x14ac:dyDescent="0.25">
      <c r="A196" s="30" t="s">
        <v>49</v>
      </c>
      <c r="B196" s="36">
        <v>6456.8512967549896</v>
      </c>
      <c r="C196" s="32">
        <f>B196/B159*100</f>
        <v>9.0564629127662144</v>
      </c>
      <c r="D196" s="58"/>
      <c r="E196" s="36">
        <v>5673.8527243634398</v>
      </c>
      <c r="F196" s="32">
        <f>E196/E159*100</f>
        <v>6.9402746708529524</v>
      </c>
      <c r="H196" s="36">
        <v>6927.5163422252499</v>
      </c>
      <c r="I196" s="32">
        <f>H196/H159*100</f>
        <v>7.5193976423155906</v>
      </c>
      <c r="K196" s="36">
        <v>5371.0501620931673</v>
      </c>
      <c r="L196" s="32">
        <f>K196/$H$79*100</f>
        <v>8.7606558880121419</v>
      </c>
      <c r="M196" s="92"/>
    </row>
    <row r="197" spans="1:13" s="4" customFormat="1" ht="33.75" customHeight="1" x14ac:dyDescent="0.25">
      <c r="A197" s="105" t="s">
        <v>78</v>
      </c>
      <c r="B197" s="108">
        <v>6762.8638342575596</v>
      </c>
      <c r="C197" s="107">
        <f>B197/B159*100</f>
        <v>9.485680044981466</v>
      </c>
      <c r="D197" s="103"/>
      <c r="E197" s="108">
        <v>8097.00038070956</v>
      </c>
      <c r="F197" s="107">
        <f>E197/$E$159*100</f>
        <v>9.9042765792673872</v>
      </c>
      <c r="G197" s="103"/>
      <c r="H197" s="108">
        <v>9223.8235167818129</v>
      </c>
      <c r="I197" s="107">
        <f>H197/$H$159*100</f>
        <v>10.01189941371474</v>
      </c>
      <c r="J197" s="1"/>
      <c r="K197" s="129">
        <v>5916.68923521544</v>
      </c>
      <c r="L197" s="118">
        <f>K197/$H$79*100</f>
        <v>9.6506412753046771</v>
      </c>
    </row>
    <row r="198" spans="1:13" s="4" customFormat="1" ht="11.25" customHeight="1" x14ac:dyDescent="0.25">
      <c r="A198" s="20" t="s">
        <v>70</v>
      </c>
      <c r="B198" s="109">
        <v>2944.27618649635</v>
      </c>
      <c r="C198" s="107">
        <f>B198/B159*100</f>
        <v>4.1296797560361647</v>
      </c>
      <c r="D198" s="102"/>
      <c r="E198" s="109">
        <v>3638.2554307658793</v>
      </c>
      <c r="F198" s="107">
        <f>E198/$E$159*100</f>
        <v>4.4503255968933404</v>
      </c>
      <c r="G198" s="102"/>
      <c r="H198" s="109">
        <v>3552.1576211364199</v>
      </c>
      <c r="I198" s="107">
        <f>H198/$H$159*100</f>
        <v>3.8556510475046766</v>
      </c>
      <c r="J198" s="1"/>
      <c r="K198" s="119">
        <v>2311.7876154240366</v>
      </c>
      <c r="L198" s="32">
        <f>K198/$H$79*100</f>
        <v>3.7707292193684094</v>
      </c>
    </row>
    <row r="199" spans="1:13" ht="18" customHeight="1" x14ac:dyDescent="0.25">
      <c r="A199" s="24" t="s">
        <v>52</v>
      </c>
      <c r="B199" s="48">
        <f t="shared" ref="B199:H199" si="13">B200+B201+B202+B205+B203+B204</f>
        <v>59222.917100772102</v>
      </c>
      <c r="C199" s="49">
        <f t="shared" si="13"/>
        <v>100.00000000000001</v>
      </c>
      <c r="D199" s="48">
        <f t="shared" si="13"/>
        <v>0</v>
      </c>
      <c r="E199" s="48">
        <f t="shared" si="13"/>
        <v>52893.798670862489</v>
      </c>
      <c r="F199" s="49">
        <f t="shared" si="13"/>
        <v>100</v>
      </c>
      <c r="G199" s="48">
        <f t="shared" si="13"/>
        <v>0</v>
      </c>
      <c r="H199" s="48">
        <f t="shared" si="13"/>
        <v>55339.769568518277</v>
      </c>
      <c r="I199" s="49">
        <f>I201+I202+I203+I204+I205+I200</f>
        <v>100</v>
      </c>
      <c r="K199" s="48">
        <f>K200+K201+K202+K203+K204+K205</f>
        <v>56526.216860232744</v>
      </c>
      <c r="L199" s="49">
        <f>L200+L201+L202+L203+L204+L205</f>
        <v>100</v>
      </c>
    </row>
    <row r="200" spans="1:13" ht="11.25" customHeight="1" x14ac:dyDescent="0.25">
      <c r="A200" s="30" t="s">
        <v>53</v>
      </c>
      <c r="B200" s="36">
        <v>15959.342796488387</v>
      </c>
      <c r="C200" s="32">
        <f t="shared" ref="C200:C205" si="14">B200/$B$199*100</f>
        <v>26.947917424149175</v>
      </c>
      <c r="D200" s="58"/>
      <c r="E200" s="36">
        <v>16758.104529461503</v>
      </c>
      <c r="F200" s="32">
        <f t="shared" ref="F200:F205" si="15">E200/$E$199*100</f>
        <v>31.682550602464122</v>
      </c>
      <c r="H200" s="36">
        <v>17090.154531018401</v>
      </c>
      <c r="I200" s="32">
        <f t="shared" ref="I200:I205" si="16">H200/$H$199*100</f>
        <v>30.882229297789955</v>
      </c>
      <c r="K200" s="93">
        <v>15404.781878802898</v>
      </c>
      <c r="L200" s="32">
        <f t="shared" ref="L200:L205" si="17">K200/$K$199*100</f>
        <v>27.252455116345232</v>
      </c>
    </row>
    <row r="201" spans="1:13" ht="11.25" customHeight="1" x14ac:dyDescent="0.25">
      <c r="A201" s="30" t="s">
        <v>54</v>
      </c>
      <c r="B201" s="36">
        <v>6472.9972073202653</v>
      </c>
      <c r="C201" s="32">
        <f t="shared" si="14"/>
        <v>10.929885801312336</v>
      </c>
      <c r="D201" s="58"/>
      <c r="E201" s="36">
        <v>4871.3035141259616</v>
      </c>
      <c r="F201" s="32">
        <f t="shared" si="15"/>
        <v>9.2095928757890615</v>
      </c>
      <c r="H201" s="36">
        <v>5424.2127939325901</v>
      </c>
      <c r="I201" s="32">
        <f t="shared" si="16"/>
        <v>9.801654101968504</v>
      </c>
      <c r="K201" s="93">
        <v>6302.4244279276163</v>
      </c>
      <c r="L201" s="32">
        <f t="shared" si="17"/>
        <v>11.149559935190871</v>
      </c>
    </row>
    <row r="202" spans="1:13" ht="11.25" customHeight="1" x14ac:dyDescent="0.25">
      <c r="A202" s="30" t="s">
        <v>56</v>
      </c>
      <c r="B202" s="36">
        <v>13457.828118284748</v>
      </c>
      <c r="C202" s="32">
        <f t="shared" si="14"/>
        <v>22.724020999143413</v>
      </c>
      <c r="D202" s="58"/>
      <c r="E202" s="36">
        <v>12251.425972006164</v>
      </c>
      <c r="F202" s="32">
        <f t="shared" si="15"/>
        <v>23.162310667535937</v>
      </c>
      <c r="H202" s="36">
        <v>14776.944290230012</v>
      </c>
      <c r="I202" s="32">
        <f t="shared" si="16"/>
        <v>26.702215071448958</v>
      </c>
      <c r="K202" s="93">
        <v>12907.753828199999</v>
      </c>
      <c r="L202" s="32">
        <f t="shared" si="17"/>
        <v>22.834986215539299</v>
      </c>
    </row>
    <row r="203" spans="1:13" ht="11.25" customHeight="1" x14ac:dyDescent="0.25">
      <c r="A203" s="30" t="s">
        <v>57</v>
      </c>
      <c r="B203" s="36">
        <v>19592.525146710632</v>
      </c>
      <c r="C203" s="32">
        <f t="shared" si="14"/>
        <v>33.082674926958639</v>
      </c>
      <c r="D203" s="58"/>
      <c r="E203" s="36">
        <v>13263.818817630274</v>
      </c>
      <c r="F203" s="32">
        <f t="shared" si="15"/>
        <v>25.076321139583591</v>
      </c>
      <c r="H203" s="36">
        <v>12027.321768575339</v>
      </c>
      <c r="I203" s="32">
        <f t="shared" si="16"/>
        <v>21.73359568055999</v>
      </c>
      <c r="K203" s="93">
        <v>18053.417858328583</v>
      </c>
      <c r="L203" s="32">
        <f t="shared" si="17"/>
        <v>31.938132182041535</v>
      </c>
    </row>
    <row r="204" spans="1:13" ht="11.25" customHeight="1" x14ac:dyDescent="0.25">
      <c r="A204" s="30" t="s">
        <v>58</v>
      </c>
      <c r="B204" s="36">
        <v>3294.8653030014666</v>
      </c>
      <c r="C204" s="32">
        <f t="shared" si="14"/>
        <v>5.5634971465438179</v>
      </c>
      <c r="D204" s="58"/>
      <c r="E204" s="36">
        <v>5204.865852962851</v>
      </c>
      <c r="F204" s="32">
        <f t="shared" si="15"/>
        <v>9.8402194278968409</v>
      </c>
      <c r="H204" s="36">
        <v>5515.2214199999999</v>
      </c>
      <c r="I204" s="32">
        <f t="shared" si="16"/>
        <v>9.9661083936596349</v>
      </c>
      <c r="K204" s="93">
        <v>3357.9287798310374</v>
      </c>
      <c r="L204" s="32">
        <f t="shared" si="17"/>
        <v>5.9404803051544803</v>
      </c>
    </row>
    <row r="205" spans="1:13" s="4" customFormat="1" ht="26.25" customHeight="1" x14ac:dyDescent="0.25">
      <c r="A205" s="105" t="s">
        <v>79</v>
      </c>
      <c r="B205" s="106">
        <v>445.35852896660606</v>
      </c>
      <c r="C205" s="107">
        <f t="shared" si="14"/>
        <v>0.752003701892624</v>
      </c>
      <c r="D205" s="106"/>
      <c r="E205" s="106">
        <v>544.27998467573184</v>
      </c>
      <c r="F205" s="107">
        <f t="shared" si="15"/>
        <v>1.0290052867304431</v>
      </c>
      <c r="G205" s="106"/>
      <c r="H205" s="106">
        <v>505.91476476192997</v>
      </c>
      <c r="I205" s="107">
        <f t="shared" si="16"/>
        <v>0.91419745457294987</v>
      </c>
      <c r="J205" s="1"/>
      <c r="K205" s="130">
        <v>499.91008714260312</v>
      </c>
      <c r="L205" s="118">
        <f t="shared" si="17"/>
        <v>0.88438624572857139</v>
      </c>
    </row>
    <row r="206" spans="1:13" ht="25.5" x14ac:dyDescent="0.25">
      <c r="A206" s="37" t="s">
        <v>61</v>
      </c>
      <c r="B206" s="48">
        <f>B207+B208+B209</f>
        <v>1971.0962824096396</v>
      </c>
      <c r="C206" s="49">
        <f>C207+C208+C209</f>
        <v>100</v>
      </c>
      <c r="D206" s="48">
        <f>D207+D208+D209</f>
        <v>0</v>
      </c>
      <c r="E206" s="48">
        <f>E207+E208+E209</f>
        <v>1853.9156500645011</v>
      </c>
      <c r="F206" s="49">
        <f>F207+F208+F209</f>
        <v>99.999999999999986</v>
      </c>
      <c r="H206" s="48">
        <f>H208+H207+H209</f>
        <v>1851.383781316496</v>
      </c>
      <c r="I206" s="49">
        <f>I207+I208+I209</f>
        <v>100</v>
      </c>
      <c r="K206" s="48">
        <f>K208+K207+K209</f>
        <v>1897.9343450838164</v>
      </c>
      <c r="L206" s="49">
        <f>L208+L207+L209</f>
        <v>100</v>
      </c>
    </row>
    <row r="207" spans="1:13" x14ac:dyDescent="0.25">
      <c r="A207" s="30" t="s">
        <v>63</v>
      </c>
      <c r="B207" s="36">
        <v>1495.4412056813649</v>
      </c>
      <c r="C207" s="32">
        <f>B207/$B$206*100</f>
        <v>75.868501149685457</v>
      </c>
      <c r="D207" s="58"/>
      <c r="E207" s="36">
        <v>1391.34219549519</v>
      </c>
      <c r="F207" s="32">
        <f>E207/$E$206*100</f>
        <v>75.048840299006201</v>
      </c>
      <c r="H207" s="36">
        <v>1381.4985590316362</v>
      </c>
      <c r="I207" s="32">
        <f>(H207/$H$206)*100</f>
        <v>74.61978294145311</v>
      </c>
      <c r="K207" s="93">
        <v>1468.2890617622863</v>
      </c>
      <c r="L207" s="32">
        <f>K207/$K$206*100</f>
        <v>77.362479137677639</v>
      </c>
    </row>
    <row r="208" spans="1:13" s="4" customFormat="1" x14ac:dyDescent="0.25">
      <c r="A208" s="20" t="s">
        <v>80</v>
      </c>
      <c r="B208" s="99">
        <v>306.02940034323001</v>
      </c>
      <c r="C208" s="58">
        <f>B208/$B$206*100</f>
        <v>15.525847371043339</v>
      </c>
      <c r="D208" s="58"/>
      <c r="E208" s="99">
        <v>267.36475839355688</v>
      </c>
      <c r="F208" s="58">
        <f>E208/$E$206*100</f>
        <v>14.421624758615895</v>
      </c>
      <c r="G208" s="1"/>
      <c r="H208" s="99">
        <v>271.53050027371006</v>
      </c>
      <c r="I208" s="58">
        <f>(H208/$H$206)*100</f>
        <v>14.666354054405083</v>
      </c>
      <c r="J208" s="1"/>
      <c r="K208" s="93">
        <v>310.6452833215302</v>
      </c>
      <c r="L208" s="32">
        <f>K208/$K$206*100</f>
        <v>16.367546334054644</v>
      </c>
    </row>
    <row r="209" spans="1:13" s="4" customFormat="1" ht="32.25" customHeight="1" x14ac:dyDescent="0.25">
      <c r="A209" s="105" t="s">
        <v>81</v>
      </c>
      <c r="B209" s="106">
        <v>169.62567638504481</v>
      </c>
      <c r="C209" s="107">
        <f>B209/$B$206*100</f>
        <v>8.6056514792712022</v>
      </c>
      <c r="D209" s="106"/>
      <c r="E209" s="106">
        <v>195.208696175754</v>
      </c>
      <c r="F209" s="107">
        <f>E209/$E$206*100</f>
        <v>10.529534942377898</v>
      </c>
      <c r="G209" s="106"/>
      <c r="H209" s="106">
        <v>198.3547220111497</v>
      </c>
      <c r="I209" s="107">
        <f>(H209/$H$206)*100</f>
        <v>10.713863004141807</v>
      </c>
      <c r="J209" s="1"/>
      <c r="K209" s="117">
        <v>119</v>
      </c>
      <c r="L209" s="118">
        <f>K209/$K$206*100</f>
        <v>6.2699745282677171</v>
      </c>
    </row>
    <row r="210" spans="1:13" ht="2.25" customHeight="1" x14ac:dyDescent="0.25">
      <c r="A210" s="67"/>
      <c r="B210" s="67"/>
      <c r="C210" s="67"/>
      <c r="D210" s="67"/>
      <c r="E210" s="67"/>
      <c r="F210" s="67"/>
      <c r="G210" s="67"/>
      <c r="H210" s="67"/>
      <c r="I210" s="67"/>
      <c r="K210" s="83" t="s">
        <v>66</v>
      </c>
      <c r="L210" s="55" t="s">
        <v>66</v>
      </c>
    </row>
    <row r="211" spans="1:13" s="4" customFormat="1" x14ac:dyDescent="0.25">
      <c r="A211" s="1"/>
      <c r="B211" s="1"/>
      <c r="C211" s="2"/>
      <c r="D211" s="2"/>
      <c r="E211" s="1"/>
      <c r="F211" s="1"/>
      <c r="G211" s="1"/>
      <c r="H211" s="1"/>
      <c r="I211" s="1"/>
      <c r="J211" s="1"/>
      <c r="K211" s="83"/>
      <c r="L211" s="25"/>
    </row>
    <row r="212" spans="1:13" s="4" customFormat="1" x14ac:dyDescent="0.25">
      <c r="A212" s="1"/>
      <c r="B212" s="1"/>
      <c r="C212" s="2"/>
      <c r="D212" s="2"/>
      <c r="E212" s="1"/>
      <c r="F212" s="1"/>
      <c r="G212" s="1"/>
      <c r="H212" s="1"/>
      <c r="I212" s="1"/>
      <c r="J212" s="1"/>
    </row>
    <row r="213" spans="1:13" s="4" customFormat="1" x14ac:dyDescent="0.25">
      <c r="A213" s="1"/>
      <c r="B213" s="1"/>
      <c r="C213" s="2"/>
      <c r="D213" s="2"/>
      <c r="E213" s="1"/>
      <c r="F213" s="1"/>
      <c r="G213" s="1"/>
      <c r="H213" s="1"/>
      <c r="I213" s="1"/>
      <c r="J213" s="1"/>
    </row>
    <row r="214" spans="1:13" s="4" customFormat="1" x14ac:dyDescent="0.25">
      <c r="A214" s="1"/>
      <c r="B214" s="1"/>
      <c r="C214" s="2"/>
      <c r="D214" s="2"/>
      <c r="E214" s="1"/>
      <c r="F214" s="1"/>
      <c r="G214" s="1"/>
      <c r="H214" s="1"/>
      <c r="I214" s="1"/>
      <c r="J214" s="1"/>
    </row>
    <row r="215" spans="1:13" ht="15.75" x14ac:dyDescent="0.25">
      <c r="A215" s="1"/>
      <c r="B215" s="1"/>
      <c r="C215" s="2"/>
      <c r="E215" s="374"/>
      <c r="F215" s="1"/>
      <c r="H215" s="1"/>
      <c r="I215" s="79" t="s">
        <v>82</v>
      </c>
    </row>
    <row r="216" spans="1:13" ht="15.75" x14ac:dyDescent="0.25">
      <c r="A216" s="383" t="s">
        <v>1</v>
      </c>
      <c r="B216" s="383"/>
      <c r="C216" s="383"/>
      <c r="D216" s="383"/>
      <c r="E216" s="383"/>
      <c r="F216" s="383"/>
      <c r="G216" s="383"/>
      <c r="H216" s="383"/>
      <c r="I216" s="383"/>
    </row>
    <row r="217" spans="1:13" ht="15.75" customHeight="1" x14ac:dyDescent="0.25">
      <c r="A217" s="386" t="s">
        <v>2</v>
      </c>
      <c r="B217" s="386"/>
      <c r="C217" s="386"/>
      <c r="D217" s="386"/>
      <c r="E217" s="386"/>
      <c r="F217" s="386"/>
      <c r="G217" s="386"/>
      <c r="H217" s="386"/>
      <c r="I217" s="386"/>
      <c r="K217" s="111"/>
      <c r="L217" s="58"/>
    </row>
    <row r="218" spans="1:13" ht="2.25" customHeight="1" x14ac:dyDescent="0.25">
      <c r="A218" s="386"/>
      <c r="B218" s="386"/>
      <c r="C218" s="386"/>
      <c r="D218" s="386"/>
      <c r="E218" s="386"/>
      <c r="F218" s="386"/>
      <c r="G218" s="386"/>
      <c r="H218" s="386"/>
      <c r="I218" s="386"/>
      <c r="K218" s="1"/>
      <c r="L218" s="1"/>
    </row>
    <row r="219" spans="1:13" ht="11.25" customHeight="1" thickBot="1" x14ac:dyDescent="0.3">
      <c r="A219" s="385" t="s">
        <v>3</v>
      </c>
      <c r="B219" s="384" t="s">
        <v>83</v>
      </c>
      <c r="C219" s="384"/>
      <c r="E219" s="373" t="s">
        <v>84</v>
      </c>
      <c r="F219" s="373"/>
      <c r="H219" s="384" t="s">
        <v>85</v>
      </c>
      <c r="I219" s="384"/>
      <c r="K219" s="1"/>
      <c r="L219" s="1"/>
      <c r="M219" s="4"/>
    </row>
    <row r="220" spans="1:13" ht="28.5" customHeight="1" x14ac:dyDescent="0.25">
      <c r="A220" s="385"/>
      <c r="B220" s="64" t="s">
        <v>4</v>
      </c>
      <c r="C220" s="64" t="s">
        <v>5</v>
      </c>
      <c r="E220" s="64" t="s">
        <v>4</v>
      </c>
      <c r="F220" s="64" t="s">
        <v>5</v>
      </c>
      <c r="H220" s="64" t="s">
        <v>4</v>
      </c>
      <c r="I220" s="64" t="s">
        <v>5</v>
      </c>
      <c r="K220" s="1"/>
      <c r="L220" s="1"/>
      <c r="M220" s="92"/>
    </row>
    <row r="221" spans="1:13" ht="13.5" customHeight="1" x14ac:dyDescent="0.25">
      <c r="A221" s="13" t="s">
        <v>6</v>
      </c>
      <c r="B221" s="14">
        <f>B222+B262+B269</f>
        <v>140900.85117578684</v>
      </c>
      <c r="C221" s="13"/>
      <c r="E221" s="14">
        <f>E222+E262+E269</f>
        <v>152816.3251428814</v>
      </c>
      <c r="F221" s="14"/>
      <c r="G221" s="14">
        <f>G222+G262+G269</f>
        <v>0</v>
      </c>
      <c r="H221" s="14">
        <f>H222+H262+H269</f>
        <v>160667.47880235041</v>
      </c>
      <c r="I221" s="13"/>
      <c r="K221" s="131"/>
      <c r="L221" s="58"/>
      <c r="M221" s="4"/>
    </row>
    <row r="222" spans="1:13" ht="11.25" customHeight="1" x14ac:dyDescent="0.25">
      <c r="A222" s="18" t="s">
        <v>7</v>
      </c>
      <c r="B222" s="23">
        <f>B228+B234+B236+B240+B241+B253+B258+B223</f>
        <v>82095.82480515608</v>
      </c>
      <c r="C222" s="22">
        <f>C223+C228+C234+C236+C240+C241+C253+C258</f>
        <v>100.00000000000001</v>
      </c>
      <c r="E222" s="23">
        <f>E223+E228+E234+E236+E240+E241+E253+E258</f>
        <v>87036.971063765348</v>
      </c>
      <c r="F222" s="22">
        <f>F223+F228+F234+F236+F240+F241+F253+F258</f>
        <v>99.805869665957388</v>
      </c>
      <c r="G222" s="23">
        <f>G223+G228+G234+G236+G240+G241+G253+G258</f>
        <v>0</v>
      </c>
      <c r="H222" s="23">
        <f>H223+H228+H234+H236+H240+H241+H253+H258</f>
        <v>91732.601706684858</v>
      </c>
      <c r="I222" s="22">
        <f>I223+I228+I234+I236+I240+I241+I253+I258</f>
        <v>100</v>
      </c>
      <c r="K222" s="131"/>
      <c r="L222" s="58"/>
      <c r="M222" s="92"/>
    </row>
    <row r="223" spans="1:13" ht="11.25" customHeight="1" x14ac:dyDescent="0.25">
      <c r="A223" s="24" t="s">
        <v>8</v>
      </c>
      <c r="B223" s="29">
        <f>B224+B225+B226</f>
        <v>14051.329891663638</v>
      </c>
      <c r="C223" s="25">
        <f>C224+C225+C226</f>
        <v>17.115766757947398</v>
      </c>
      <c r="E223" s="29">
        <f>E224+E225+E226</f>
        <v>12049.520240012944</v>
      </c>
      <c r="F223" s="25">
        <f>(E223/$E$222)*100</f>
        <v>13.844140131192272</v>
      </c>
      <c r="H223" s="29">
        <f>SUM(H224:H226)</f>
        <v>14598.917937110395</v>
      </c>
      <c r="I223" s="25">
        <f>(H223/$H$222)*100</f>
        <v>15.914645028591314</v>
      </c>
      <c r="K223" s="1"/>
      <c r="L223" s="1"/>
      <c r="M223" s="92"/>
    </row>
    <row r="224" spans="1:13" ht="11.25" customHeight="1" x14ac:dyDescent="0.25">
      <c r="A224" s="30" t="s">
        <v>9</v>
      </c>
      <c r="B224" s="36">
        <v>13481.323656295197</v>
      </c>
      <c r="C224" s="32">
        <f>B224/$B$222*100</f>
        <v>16.421448579500105</v>
      </c>
      <c r="E224" s="36">
        <v>11356.072453053086</v>
      </c>
      <c r="F224" s="32">
        <f>(E224/$E$222)*100</f>
        <v>13.047412282687731</v>
      </c>
      <c r="H224" s="36">
        <v>13815.010176882812</v>
      </c>
      <c r="I224" s="32">
        <f t="shared" ref="I224:I259" si="18">(H224/$H$222)*100</f>
        <v>15.060087602285968</v>
      </c>
      <c r="K224" s="1"/>
      <c r="L224" s="1"/>
      <c r="M224" s="92"/>
    </row>
    <row r="225" spans="1:13" ht="11.25" customHeight="1" x14ac:dyDescent="0.25">
      <c r="A225" s="30" t="s">
        <v>10</v>
      </c>
      <c r="B225" s="36">
        <v>543.71745536843991</v>
      </c>
      <c r="C225" s="32">
        <f>B225/$B$222*100</f>
        <v>0.66229611147568546</v>
      </c>
      <c r="E225" s="36">
        <v>662.29652695985726</v>
      </c>
      <c r="F225" s="32">
        <f>(E225/$E$222)*100</f>
        <v>0.76093701201371444</v>
      </c>
      <c r="H225" s="36">
        <v>738.19406422758232</v>
      </c>
      <c r="I225" s="32">
        <f>(H225/$H$222)*100</f>
        <v>0.80472378466704664</v>
      </c>
      <c r="K225" s="1"/>
      <c r="L225" s="1"/>
      <c r="M225" s="92"/>
    </row>
    <row r="226" spans="1:13" s="4" customFormat="1" ht="11.25" customHeight="1" x14ac:dyDescent="0.25">
      <c r="A226" s="20" t="s">
        <v>65</v>
      </c>
      <c r="B226" s="100">
        <v>26.288779999999999</v>
      </c>
      <c r="C226" s="58">
        <f>B226/$B$222*100</f>
        <v>3.202206697160672E-2</v>
      </c>
      <c r="D226" s="20"/>
      <c r="E226" s="100">
        <v>31.151260000000001</v>
      </c>
      <c r="F226" s="58">
        <f>(E226/$E$222)*100</f>
        <v>3.5790836490826233E-2</v>
      </c>
      <c r="G226" s="20"/>
      <c r="H226" s="100">
        <v>45.713695999999999</v>
      </c>
      <c r="I226" s="58">
        <f>(H226/$H$222)*100</f>
        <v>4.9833641638301743E-2</v>
      </c>
      <c r="J226" s="1"/>
      <c r="M226" s="92"/>
    </row>
    <row r="227" spans="1:13" s="4" customFormat="1" ht="1.5" customHeight="1" x14ac:dyDescent="0.25">
      <c r="A227" s="20"/>
      <c r="B227" s="100"/>
      <c r="C227" s="58"/>
      <c r="D227" s="20"/>
      <c r="E227" s="100"/>
      <c r="F227" s="20"/>
      <c r="G227" s="20"/>
      <c r="H227" s="100"/>
      <c r="I227" s="20"/>
      <c r="J227" s="1"/>
      <c r="M227" s="92"/>
    </row>
    <row r="228" spans="1:13" ht="24" customHeight="1" x14ac:dyDescent="0.25">
      <c r="A228" s="37" t="s">
        <v>11</v>
      </c>
      <c r="B228" s="23">
        <f>SUM(B229:B232)</f>
        <v>14773.433902608836</v>
      </c>
      <c r="C228" s="38">
        <f>SUM(C229:C232)</f>
        <v>17.995353524581411</v>
      </c>
      <c r="E228" s="23">
        <f>E229+E230+E231+E232</f>
        <v>15977.317498244005</v>
      </c>
      <c r="F228" s="38">
        <f>(E228/$E$222)*100</f>
        <v>18.356931891091023</v>
      </c>
      <c r="H228" s="23">
        <f>SUM(H229:H232)</f>
        <v>15512.62841320653</v>
      </c>
      <c r="I228" s="38">
        <f t="shared" si="18"/>
        <v>16.910703637086609</v>
      </c>
      <c r="K228" s="81"/>
      <c r="L228" s="81"/>
      <c r="M228" s="92"/>
    </row>
    <row r="229" spans="1:13" ht="11.25" customHeight="1" x14ac:dyDescent="0.25">
      <c r="A229" s="30" t="s">
        <v>12</v>
      </c>
      <c r="B229" s="36">
        <v>6741.1501296202277</v>
      </c>
      <c r="C229" s="32">
        <f>B229/$B$222*100</f>
        <v>8.2113190842768002</v>
      </c>
      <c r="E229" s="36">
        <v>8245.8746122059274</v>
      </c>
      <c r="F229" s="32">
        <f>(E229/$E$222)*100</f>
        <v>9.4739907782002248</v>
      </c>
      <c r="H229" s="36">
        <v>8595.1783708682487</v>
      </c>
      <c r="I229" s="32">
        <f t="shared" si="18"/>
        <v>9.3698185933408347</v>
      </c>
      <c r="L229" s="1"/>
      <c r="M229" s="92"/>
    </row>
    <row r="230" spans="1:13" ht="11.25" customHeight="1" x14ac:dyDescent="0.25">
      <c r="A230" s="30" t="s">
        <v>13</v>
      </c>
      <c r="B230" s="36">
        <v>617.4000000000002</v>
      </c>
      <c r="C230" s="32">
        <f>B230/$B$222*100</f>
        <v>0.75204798960887476</v>
      </c>
      <c r="E230" s="36">
        <v>611.48807999999985</v>
      </c>
      <c r="F230" s="32">
        <f>(E230/$E$222)*100</f>
        <v>0.70256130530094985</v>
      </c>
      <c r="H230" s="36">
        <v>640.66211999999996</v>
      </c>
      <c r="I230" s="32">
        <f t="shared" si="18"/>
        <v>0.69840177655542579</v>
      </c>
      <c r="L230" s="1"/>
      <c r="M230" s="92"/>
    </row>
    <row r="231" spans="1:13" ht="11.25" customHeight="1" x14ac:dyDescent="0.25">
      <c r="A231" s="30" t="s">
        <v>14</v>
      </c>
      <c r="B231" s="36">
        <v>4070.3420470877772</v>
      </c>
      <c r="C231" s="32">
        <f>B231/$B$222*100</f>
        <v>4.9580378256119753</v>
      </c>
      <c r="E231" s="36">
        <v>4228.5252013333338</v>
      </c>
      <c r="F231" s="32">
        <f>(E231/$E$222)*100</f>
        <v>4.8583092330216964</v>
      </c>
      <c r="H231" s="36">
        <v>2975.49538016734</v>
      </c>
      <c r="I231" s="32">
        <f t="shared" si="18"/>
        <v>3.2436618223055436</v>
      </c>
      <c r="L231" s="1"/>
      <c r="M231" s="92"/>
    </row>
    <row r="232" spans="1:13" ht="11.25" customHeight="1" x14ac:dyDescent="0.25">
      <c r="A232" s="30" t="s">
        <v>15</v>
      </c>
      <c r="B232" s="36">
        <v>3344.5417259008304</v>
      </c>
      <c r="C232" s="32">
        <f>B232/$B$222*100</f>
        <v>4.0739486250837622</v>
      </c>
      <c r="E232" s="36">
        <v>2891.4296047047446</v>
      </c>
      <c r="F232" s="32">
        <f>(E232/$E$222)*100</f>
        <v>3.3220705745681505</v>
      </c>
      <c r="H232" s="36">
        <v>3301.292542170941</v>
      </c>
      <c r="I232" s="32">
        <f t="shared" si="18"/>
        <v>3.5988214448848068</v>
      </c>
      <c r="L232" s="1"/>
      <c r="M232" s="92"/>
    </row>
    <row r="233" spans="1:13" ht="1.5" customHeight="1" x14ac:dyDescent="0.25">
      <c r="A233" s="30"/>
      <c r="B233" s="31"/>
      <c r="C233" s="32"/>
      <c r="E233" s="31"/>
      <c r="F233" s="32"/>
      <c r="H233" s="1"/>
      <c r="I233" s="25"/>
      <c r="L233" s="1"/>
      <c r="M233" s="92"/>
    </row>
    <row r="234" spans="1:13" ht="11.25" customHeight="1" x14ac:dyDescent="0.25">
      <c r="A234" s="24" t="s">
        <v>16</v>
      </c>
      <c r="B234" s="29">
        <f>B235</f>
        <v>138.14144049999999</v>
      </c>
      <c r="C234" s="38">
        <f>C235</f>
        <v>0.16826853354340612</v>
      </c>
      <c r="E234" s="29">
        <f>E235</f>
        <v>168.96516266666666</v>
      </c>
      <c r="F234" s="25">
        <f>F235</f>
        <v>0</v>
      </c>
      <c r="G234" s="29"/>
      <c r="H234" s="29">
        <f>H235</f>
        <v>227.03732171825396</v>
      </c>
      <c r="I234" s="25">
        <f t="shared" si="18"/>
        <v>0.24749905431027253</v>
      </c>
      <c r="L234" s="1"/>
      <c r="M234" s="92"/>
    </row>
    <row r="235" spans="1:13" ht="11.25" customHeight="1" x14ac:dyDescent="0.25">
      <c r="A235" s="30" t="s">
        <v>18</v>
      </c>
      <c r="B235" s="33">
        <v>138.14144049999999</v>
      </c>
      <c r="C235" s="32">
        <f>B235/B222*100</f>
        <v>0.16826853354340612</v>
      </c>
      <c r="D235" s="39"/>
      <c r="E235" s="33">
        <v>168.96516266666666</v>
      </c>
      <c r="F235" s="39"/>
      <c r="G235" s="39"/>
      <c r="H235" s="33">
        <v>227.03732171825396</v>
      </c>
      <c r="I235" s="25"/>
      <c r="L235" s="1"/>
      <c r="M235" s="92"/>
    </row>
    <row r="236" spans="1:13" ht="11.25" customHeight="1" x14ac:dyDescent="0.25">
      <c r="A236" s="24" t="s">
        <v>21</v>
      </c>
      <c r="B236" s="29">
        <f>B237+B238</f>
        <v>2435.2610723592725</v>
      </c>
      <c r="C236" s="38">
        <f>C237+C238</f>
        <v>2.9663640972473968</v>
      </c>
      <c r="E236" s="29">
        <f>E237+E238</f>
        <v>2187.7899774409075</v>
      </c>
      <c r="F236" s="25">
        <f>(E236/$E$222)*100</f>
        <v>2.5136329432214279</v>
      </c>
      <c r="H236" s="29">
        <f>SUM(H237:H238)</f>
        <v>3094.701260287371</v>
      </c>
      <c r="I236" s="25">
        <f t="shared" si="18"/>
        <v>3.3736111292064765</v>
      </c>
      <c r="L236" s="1"/>
      <c r="M236" s="92"/>
    </row>
    <row r="237" spans="1:13" ht="11.25" customHeight="1" x14ac:dyDescent="0.25">
      <c r="A237" s="30" t="s">
        <v>22</v>
      </c>
      <c r="B237" s="36">
        <v>1884.3223326078034</v>
      </c>
      <c r="C237" s="32">
        <f>B237/$B$222*100</f>
        <v>2.2952718205584768</v>
      </c>
      <c r="E237" s="36">
        <v>1576.493709587131</v>
      </c>
      <c r="F237" s="32">
        <f>(E237/$E$222)*100</f>
        <v>1.8112920180002063</v>
      </c>
      <c r="H237" s="36">
        <v>2394.804802812514</v>
      </c>
      <c r="I237" s="32">
        <f t="shared" si="18"/>
        <v>2.6106365220839436</v>
      </c>
      <c r="L237" s="1"/>
      <c r="M237" s="92"/>
    </row>
    <row r="238" spans="1:13" ht="11.25" customHeight="1" x14ac:dyDescent="0.25">
      <c r="A238" s="30" t="s">
        <v>23</v>
      </c>
      <c r="B238" s="36">
        <v>550.93873975146903</v>
      </c>
      <c r="C238" s="32">
        <f>B238/$B$222*100</f>
        <v>0.67109227668892002</v>
      </c>
      <c r="E238" s="36">
        <v>611.29626785377638</v>
      </c>
      <c r="F238" s="32">
        <f>(E238/$E$222)*100</f>
        <v>0.70234092522122149</v>
      </c>
      <c r="H238" s="36">
        <v>699.89645747485713</v>
      </c>
      <c r="I238" s="32">
        <f t="shared" si="18"/>
        <v>0.7629746071225334</v>
      </c>
      <c r="L238" s="1"/>
      <c r="M238" s="92"/>
    </row>
    <row r="239" spans="1:13" ht="11.25" customHeight="1" x14ac:dyDescent="0.25">
      <c r="A239" s="30" t="s">
        <v>24</v>
      </c>
      <c r="B239" s="39" t="s">
        <v>66</v>
      </c>
      <c r="C239" s="32"/>
      <c r="E239" s="39" t="s">
        <v>66</v>
      </c>
      <c r="F239" s="22"/>
      <c r="H239" s="39" t="s">
        <v>66</v>
      </c>
      <c r="I239" s="25"/>
      <c r="L239" s="1"/>
      <c r="M239" s="92"/>
    </row>
    <row r="240" spans="1:13" ht="11.25" customHeight="1" x14ac:dyDescent="0.25">
      <c r="A240" s="24" t="str">
        <f>A177</f>
        <v>RAICES, BULBOS Y TUBERCULOS</v>
      </c>
      <c r="B240" s="27">
        <v>8353.0791455469589</v>
      </c>
      <c r="C240" s="25">
        <f>B240/B222*100</f>
        <v>10.174791672258513</v>
      </c>
      <c r="E240" s="27">
        <v>8157.0702141012689</v>
      </c>
      <c r="F240" s="25">
        <f>(E240/$E$222)*100</f>
        <v>9.371960115805507</v>
      </c>
      <c r="H240" s="27">
        <v>8139.4345579194896</v>
      </c>
      <c r="I240" s="25">
        <f t="shared" si="18"/>
        <v>8.8730008813500625</v>
      </c>
      <c r="L240" s="1"/>
      <c r="M240" s="92"/>
    </row>
    <row r="241" spans="1:13" ht="11.25" customHeight="1" x14ac:dyDescent="0.25">
      <c r="A241" s="24" t="s">
        <v>34</v>
      </c>
      <c r="B241" s="29">
        <f>B242+B243+B244+B245+B247+B248+B249+B250+B251</f>
        <v>20862.284068781533</v>
      </c>
      <c r="C241" s="25">
        <f>C242+C243+C244+C245+C247+C248+C249+C250+C251</f>
        <v>25.412113366660844</v>
      </c>
      <c r="E241" s="29">
        <f>SUM(E242:E251)</f>
        <v>25441.970660523115</v>
      </c>
      <c r="F241" s="25">
        <f>(E241/$E$222)*100</f>
        <v>29.23122249036415</v>
      </c>
      <c r="H241" s="29">
        <f>SUM(H242:H251)</f>
        <v>27365.590971424455</v>
      </c>
      <c r="I241" s="25">
        <f t="shared" si="18"/>
        <v>29.831914131167864</v>
      </c>
      <c r="L241" s="1"/>
      <c r="M241" s="92"/>
    </row>
    <row r="242" spans="1:13" ht="11.25" customHeight="1" x14ac:dyDescent="0.25">
      <c r="A242" s="30" t="s">
        <v>35</v>
      </c>
      <c r="B242" s="36">
        <v>4664.8225001414967</v>
      </c>
      <c r="C242" s="32">
        <f>B242/$B$222*100</f>
        <v>5.6821677731027798</v>
      </c>
      <c r="E242" s="36">
        <v>5628.3002609331998</v>
      </c>
      <c r="F242" s="32">
        <f t="shared" ref="F242:F251" si="19">(E242/$E$222)*100</f>
        <v>6.4665626481989742</v>
      </c>
      <c r="H242" s="36">
        <v>5911.0667805491639</v>
      </c>
      <c r="I242" s="32">
        <f t="shared" si="18"/>
        <v>6.4438015172073833</v>
      </c>
      <c r="L242" s="1"/>
      <c r="M242" s="92"/>
    </row>
    <row r="243" spans="1:13" s="4" customFormat="1" ht="0.75" customHeight="1" x14ac:dyDescent="0.25">
      <c r="A243" s="20"/>
      <c r="B243" s="63"/>
      <c r="C243" s="58"/>
      <c r="D243" s="2"/>
      <c r="E243" s="63"/>
      <c r="F243" s="58"/>
      <c r="G243" s="1"/>
      <c r="H243" s="63"/>
      <c r="I243" s="58"/>
      <c r="J243" s="1"/>
      <c r="K243" s="1"/>
      <c r="L243" s="1"/>
      <c r="M243" s="92"/>
    </row>
    <row r="244" spans="1:13" ht="11.25" customHeight="1" x14ac:dyDescent="0.25">
      <c r="A244" s="30" t="s">
        <v>37</v>
      </c>
      <c r="B244" s="36">
        <v>1566.889970860741</v>
      </c>
      <c r="C244" s="32">
        <f t="shared" ref="C244:C251" si="20">B244/$B$222*100</f>
        <v>1.9086110342146554</v>
      </c>
      <c r="E244" s="36">
        <v>3743.3925640663028</v>
      </c>
      <c r="F244" s="32">
        <f t="shared" si="19"/>
        <v>4.3009223762207958</v>
      </c>
      <c r="H244" s="36">
        <v>3813.591409927772</v>
      </c>
      <c r="I244" s="32">
        <f t="shared" si="18"/>
        <v>4.1572912344966912</v>
      </c>
      <c r="L244" s="1"/>
      <c r="M244" s="92"/>
    </row>
    <row r="245" spans="1:13" ht="11.25" customHeight="1" x14ac:dyDescent="0.25">
      <c r="A245" s="30" t="s">
        <v>38</v>
      </c>
      <c r="B245" s="36">
        <v>392.33485185185179</v>
      </c>
      <c r="C245" s="32">
        <f t="shared" si="20"/>
        <v>0.47789866632439382</v>
      </c>
      <c r="E245" s="36">
        <v>299.07371234876541</v>
      </c>
      <c r="F245" s="32">
        <f t="shared" si="19"/>
        <v>0.34361686613572173</v>
      </c>
      <c r="H245" s="36">
        <v>375.53260011976187</v>
      </c>
      <c r="I245" s="32">
        <f t="shared" si="18"/>
        <v>0.40937746573516787</v>
      </c>
      <c r="L245" s="1"/>
      <c r="M245" s="92"/>
    </row>
    <row r="246" spans="1:13" s="4" customFormat="1" ht="11.25" customHeight="1" x14ac:dyDescent="0.25">
      <c r="A246" s="20" t="s">
        <v>67</v>
      </c>
      <c r="B246" s="111" t="s">
        <v>66</v>
      </c>
      <c r="C246" s="58">
        <v>0</v>
      </c>
      <c r="D246" s="111"/>
      <c r="E246" s="111" t="s">
        <v>66</v>
      </c>
      <c r="F246" s="58">
        <v>0</v>
      </c>
      <c r="G246" s="111"/>
      <c r="H246" s="111" t="s">
        <v>66</v>
      </c>
      <c r="I246" s="58">
        <v>0</v>
      </c>
      <c r="J246" s="1"/>
      <c r="K246" s="1"/>
      <c r="L246" s="1"/>
      <c r="M246" s="92"/>
    </row>
    <row r="247" spans="1:13" ht="11.25" customHeight="1" x14ac:dyDescent="0.25">
      <c r="A247" s="30" t="s">
        <v>39</v>
      </c>
      <c r="B247" s="36">
        <v>1593.5884565425924</v>
      </c>
      <c r="C247" s="32">
        <f t="shared" si="20"/>
        <v>1.9411321590650565</v>
      </c>
      <c r="E247" s="36">
        <v>1801.63265208912</v>
      </c>
      <c r="F247" s="32">
        <f t="shared" si="19"/>
        <v>2.0699624884340255</v>
      </c>
      <c r="H247" s="36">
        <v>3601.7814698999996</v>
      </c>
      <c r="I247" s="32">
        <f t="shared" si="18"/>
        <v>3.9263919292474685</v>
      </c>
      <c r="L247" s="1"/>
      <c r="M247" s="92"/>
    </row>
    <row r="248" spans="1:13" ht="11.25" customHeight="1" x14ac:dyDescent="0.25">
      <c r="A248" s="30" t="s">
        <v>40</v>
      </c>
      <c r="B248" s="36">
        <v>6301.3253243317413</v>
      </c>
      <c r="C248" s="32">
        <f t="shared" si="20"/>
        <v>7.6755734402902096</v>
      </c>
      <c r="E248" s="36">
        <v>8402.6622597632304</v>
      </c>
      <c r="F248" s="32">
        <f t="shared" si="19"/>
        <v>9.6541299140651855</v>
      </c>
      <c r="H248" s="36">
        <v>6688.0255495723568</v>
      </c>
      <c r="I248" s="32">
        <f t="shared" si="18"/>
        <v>7.2907836746605419</v>
      </c>
      <c r="L248" s="1"/>
      <c r="M248" s="92"/>
    </row>
    <row r="249" spans="1:13" ht="11.25" customHeight="1" x14ac:dyDescent="0.25">
      <c r="A249" s="30" t="s">
        <v>41</v>
      </c>
      <c r="B249" s="36">
        <v>4480.3686274916672</v>
      </c>
      <c r="C249" s="32">
        <f t="shared" si="20"/>
        <v>5.4574865873206679</v>
      </c>
      <c r="E249" s="36">
        <v>3263.2882133630956</v>
      </c>
      <c r="F249" s="32">
        <f t="shared" si="19"/>
        <v>3.7493127041063197</v>
      </c>
      <c r="H249" s="36">
        <v>4525.6262774285715</v>
      </c>
      <c r="I249" s="32">
        <f t="shared" si="18"/>
        <v>4.9334982255264812</v>
      </c>
      <c r="L249" s="1"/>
      <c r="M249" s="92"/>
    </row>
    <row r="250" spans="1:13" s="4" customFormat="1" ht="11.25" customHeight="1" x14ac:dyDescent="0.25">
      <c r="A250" s="20" t="s">
        <v>68</v>
      </c>
      <c r="B250" s="99">
        <v>1463.0015173088336</v>
      </c>
      <c r="C250" s="58">
        <f t="shared" si="20"/>
        <v>1.7820656784691307</v>
      </c>
      <c r="D250" s="2"/>
      <c r="E250" s="99">
        <v>1685.8946562260646</v>
      </c>
      <c r="F250" s="32">
        <f t="shared" si="19"/>
        <v>1.9369868179246934</v>
      </c>
      <c r="G250" s="1"/>
      <c r="H250" s="99">
        <v>1859.7216556842832</v>
      </c>
      <c r="I250" s="32">
        <f t="shared" si="18"/>
        <v>2.0273290205272345</v>
      </c>
      <c r="J250" s="1"/>
      <c r="K250" s="1"/>
      <c r="L250" s="1"/>
      <c r="M250" s="92"/>
    </row>
    <row r="251" spans="1:13" ht="11.25" customHeight="1" x14ac:dyDescent="0.25">
      <c r="A251" s="30" t="s">
        <v>42</v>
      </c>
      <c r="B251" s="33">
        <v>399.95282025261105</v>
      </c>
      <c r="C251" s="32">
        <f t="shared" si="20"/>
        <v>0.48717802787394832</v>
      </c>
      <c r="E251" s="33">
        <v>617.72634173333336</v>
      </c>
      <c r="F251" s="32">
        <f t="shared" si="19"/>
        <v>0.70972867527843131</v>
      </c>
      <c r="H251" s="33">
        <v>590.24522824254632</v>
      </c>
      <c r="I251" s="32">
        <f t="shared" si="18"/>
        <v>0.6434410637668998</v>
      </c>
      <c r="L251" s="1"/>
      <c r="M251" s="92"/>
    </row>
    <row r="252" spans="1:13" ht="0.75" customHeight="1" x14ac:dyDescent="0.25">
      <c r="A252" s="30"/>
      <c r="B252" s="33"/>
      <c r="C252" s="32"/>
      <c r="E252" s="33"/>
      <c r="F252" s="22"/>
      <c r="H252" s="33"/>
      <c r="I252" s="25"/>
      <c r="L252" s="1"/>
      <c r="M252" s="92"/>
    </row>
    <row r="253" spans="1:13" ht="11.25" customHeight="1" x14ac:dyDescent="0.25">
      <c r="A253" s="24" t="s">
        <v>43</v>
      </c>
      <c r="B253" s="29">
        <f>SUM(B254:B256)</f>
        <v>13472.30912141429</v>
      </c>
      <c r="C253" s="25">
        <f>SUM(C254:C256)</f>
        <v>16.410468076042953</v>
      </c>
      <c r="E253" s="29">
        <f>SUM(E254:E256)</f>
        <v>13836.211785207401</v>
      </c>
      <c r="F253" s="25">
        <f t="shared" ref="F253:F259" si="21">(E253/$E$222)*100</f>
        <v>15.896936228480039</v>
      </c>
      <c r="H253" s="29">
        <f>SUM(H254:H256)</f>
        <v>12803.343134305396</v>
      </c>
      <c r="I253" s="25">
        <f t="shared" si="18"/>
        <v>13.957244094356014</v>
      </c>
      <c r="L253" s="1"/>
      <c r="M253" s="92"/>
    </row>
    <row r="254" spans="1:13" ht="11.25" customHeight="1" x14ac:dyDescent="0.25">
      <c r="A254" s="30" t="s">
        <v>44</v>
      </c>
      <c r="B254" s="36">
        <v>5692.98545806129</v>
      </c>
      <c r="C254" s="32">
        <f>B254/$B$222*100</f>
        <v>6.9345614975826866</v>
      </c>
      <c r="E254" s="36">
        <v>6140.6672267746499</v>
      </c>
      <c r="F254" s="32">
        <f t="shared" si="21"/>
        <v>7.0552400338884169</v>
      </c>
      <c r="H254" s="36">
        <v>4345.8984620687797</v>
      </c>
      <c r="I254" s="32">
        <f t="shared" si="18"/>
        <v>4.7375724455791595</v>
      </c>
      <c r="L254" s="1"/>
      <c r="M254" s="92"/>
    </row>
    <row r="255" spans="1:13" s="4" customFormat="1" ht="11.25" customHeight="1" x14ac:dyDescent="0.25">
      <c r="A255" s="20" t="s">
        <v>69</v>
      </c>
      <c r="B255" s="99">
        <v>502.60632324457674</v>
      </c>
      <c r="C255" s="58">
        <f>B255/$B$222*100</f>
        <v>0.61221910424488513</v>
      </c>
      <c r="D255" s="2"/>
      <c r="E255" s="99">
        <v>613.12657382442933</v>
      </c>
      <c r="F255" s="32">
        <f t="shared" si="21"/>
        <v>0.70444383154744472</v>
      </c>
      <c r="G255" s="1"/>
      <c r="H255" s="99">
        <v>738.64445288040815</v>
      </c>
      <c r="I255" s="32">
        <f t="shared" si="18"/>
        <v>0.80521476458525076</v>
      </c>
      <c r="J255" s="1"/>
      <c r="K255" s="1"/>
      <c r="L255" s="1"/>
      <c r="M255" s="92"/>
    </row>
    <row r="256" spans="1:13" ht="11.25" customHeight="1" x14ac:dyDescent="0.25">
      <c r="A256" s="30" t="s">
        <v>47</v>
      </c>
      <c r="B256" s="33">
        <v>7276.7173401084228</v>
      </c>
      <c r="C256" s="32">
        <f>B256/$B$222*100</f>
        <v>8.8636874742153804</v>
      </c>
      <c r="E256" s="33">
        <v>7082.4179846083225</v>
      </c>
      <c r="F256" s="32">
        <f t="shared" si="21"/>
        <v>8.1372523630441762</v>
      </c>
      <c r="H256" s="33">
        <v>7718.800219356207</v>
      </c>
      <c r="I256" s="32">
        <f t="shared" si="18"/>
        <v>8.414456884191603</v>
      </c>
      <c r="L256" s="1"/>
      <c r="M256" s="92"/>
    </row>
    <row r="257" spans="1:13" ht="2.25" customHeight="1" x14ac:dyDescent="0.25">
      <c r="A257" s="30"/>
      <c r="B257" s="39"/>
      <c r="C257" s="42"/>
      <c r="E257" s="39"/>
      <c r="F257" s="22">
        <f t="shared" si="21"/>
        <v>0</v>
      </c>
      <c r="H257" s="1"/>
      <c r="I257" s="25">
        <f t="shared" si="18"/>
        <v>0</v>
      </c>
      <c r="L257" s="89"/>
      <c r="M257" s="4"/>
    </row>
    <row r="258" spans="1:13" ht="11.25" customHeight="1" x14ac:dyDescent="0.25">
      <c r="A258" s="24" t="s">
        <v>48</v>
      </c>
      <c r="B258" s="29">
        <f>B259</f>
        <v>8009.9861622815588</v>
      </c>
      <c r="C258" s="25">
        <f>C259</f>
        <v>9.7568739717180932</v>
      </c>
      <c r="E258" s="29">
        <f>E259</f>
        <v>9218.1255255690303</v>
      </c>
      <c r="F258" s="25">
        <f t="shared" si="21"/>
        <v>10.59104586580295</v>
      </c>
      <c r="G258" s="29"/>
      <c r="H258" s="29">
        <f>H259</f>
        <v>9990.9481107129759</v>
      </c>
      <c r="I258" s="25">
        <f t="shared" si="18"/>
        <v>10.891382043931392</v>
      </c>
      <c r="L258" s="89"/>
      <c r="M258" s="4"/>
    </row>
    <row r="259" spans="1:13" ht="11.25" customHeight="1" x14ac:dyDescent="0.25">
      <c r="A259" s="30" t="s">
        <v>49</v>
      </c>
      <c r="B259" s="36">
        <v>8009.9861622815588</v>
      </c>
      <c r="C259" s="32">
        <f>B259/B222*100</f>
        <v>9.7568739717180932</v>
      </c>
      <c r="E259" s="36">
        <v>9218.1255255690303</v>
      </c>
      <c r="F259" s="32">
        <f t="shared" si="21"/>
        <v>10.59104586580295</v>
      </c>
      <c r="H259" s="36">
        <v>9990.9481107129759</v>
      </c>
      <c r="I259" s="32">
        <f t="shared" si="18"/>
        <v>10.891382043931392</v>
      </c>
      <c r="L259" s="89"/>
      <c r="M259" s="4"/>
    </row>
    <row r="260" spans="1:13" ht="30.75" customHeight="1" x14ac:dyDescent="0.25">
      <c r="A260" s="105" t="s">
        <v>78</v>
      </c>
      <c r="B260" s="112" t="s">
        <v>66</v>
      </c>
      <c r="C260" s="116" t="s">
        <v>66</v>
      </c>
      <c r="E260" s="112" t="s">
        <v>66</v>
      </c>
      <c r="F260" s="116" t="s">
        <v>66</v>
      </c>
      <c r="G260" s="112"/>
      <c r="H260" s="112" t="s">
        <v>66</v>
      </c>
      <c r="I260" s="116" t="s">
        <v>66</v>
      </c>
      <c r="L260" s="89"/>
      <c r="M260" s="4"/>
    </row>
    <row r="261" spans="1:13" ht="11.25" customHeight="1" x14ac:dyDescent="0.25">
      <c r="A261" s="20" t="s">
        <v>70</v>
      </c>
      <c r="B261" s="111" t="s">
        <v>66</v>
      </c>
      <c r="C261" s="115" t="s">
        <v>66</v>
      </c>
      <c r="E261" s="111" t="s">
        <v>66</v>
      </c>
      <c r="F261" s="115" t="s">
        <v>66</v>
      </c>
      <c r="H261" s="111" t="s">
        <v>66</v>
      </c>
      <c r="I261" s="115" t="s">
        <v>66</v>
      </c>
      <c r="L261" s="89"/>
      <c r="M261" s="4"/>
    </row>
    <row r="262" spans="1:13" ht="18" customHeight="1" x14ac:dyDescent="0.25">
      <c r="A262" s="24" t="s">
        <v>52</v>
      </c>
      <c r="B262" s="48">
        <f>SUM(B263:B267)</f>
        <v>57117.317819065</v>
      </c>
      <c r="C262" s="49">
        <f>SUM(C263:C267)</f>
        <v>100</v>
      </c>
      <c r="D262" s="48"/>
      <c r="E262" s="48">
        <f>SUM(E263:E267)</f>
        <v>63887.157116528244</v>
      </c>
      <c r="F262" s="49">
        <f>SUM(F263:F267)</f>
        <v>100</v>
      </c>
      <c r="H262" s="48">
        <f>SUM(H263:H267)</f>
        <v>66919.877693311399</v>
      </c>
      <c r="I262" s="49">
        <f>SUM(I263:I267)</f>
        <v>100</v>
      </c>
      <c r="L262" s="89"/>
      <c r="M262" s="4"/>
    </row>
    <row r="263" spans="1:13" ht="11.25" customHeight="1" x14ac:dyDescent="0.25">
      <c r="A263" s="30" t="s">
        <v>53</v>
      </c>
      <c r="B263" s="36">
        <v>17957.58871558325</v>
      </c>
      <c r="C263" s="32">
        <f>(B263/B262)*100</f>
        <v>31.439831913096672</v>
      </c>
      <c r="E263" s="36">
        <v>18824.274258595968</v>
      </c>
      <c r="F263" s="32">
        <f>(E263/E262)*100</f>
        <v>29.464880123341629</v>
      </c>
      <c r="H263" s="36">
        <v>20489.288493247244</v>
      </c>
      <c r="I263" s="32">
        <f>(H263/$H$262)*100</f>
        <v>30.617641871893525</v>
      </c>
      <c r="L263" s="89"/>
      <c r="M263" s="4"/>
    </row>
    <row r="264" spans="1:13" ht="11.25" customHeight="1" x14ac:dyDescent="0.25">
      <c r="A264" s="30" t="s">
        <v>54</v>
      </c>
      <c r="B264" s="36">
        <v>6127.4580377624179</v>
      </c>
      <c r="C264" s="32">
        <f>(B264/B262)*100</f>
        <v>10.727846250016231</v>
      </c>
      <c r="E264" s="36">
        <v>9395.1148298319749</v>
      </c>
      <c r="F264" s="32">
        <f>(E264/E262)*100</f>
        <v>14.705795740285593</v>
      </c>
      <c r="H264" s="36">
        <v>8517.8849003740761</v>
      </c>
      <c r="I264" s="32">
        <f>(H264/$H$262)*100</f>
        <v>12.72848246885758</v>
      </c>
      <c r="L264" s="89"/>
      <c r="M264" s="4"/>
    </row>
    <row r="265" spans="1:13" ht="11.25" customHeight="1" x14ac:dyDescent="0.25">
      <c r="A265" s="30" t="s">
        <v>56</v>
      </c>
      <c r="B265" s="36">
        <v>15162.572057270145</v>
      </c>
      <c r="C265" s="32">
        <f>(B265/B262)*100</f>
        <v>26.546365684225247</v>
      </c>
      <c r="E265" s="36">
        <v>15260.797760611227</v>
      </c>
      <c r="F265" s="32">
        <f>(E265/E262)*100</f>
        <v>23.887113544238623</v>
      </c>
      <c r="H265" s="36">
        <v>16720.654963023655</v>
      </c>
      <c r="I265" s="32">
        <f>(H265/$H$262)*100</f>
        <v>24.986081175541173</v>
      </c>
      <c r="L265" s="89"/>
      <c r="M265" s="4"/>
    </row>
    <row r="266" spans="1:13" ht="11.25" customHeight="1" x14ac:dyDescent="0.25">
      <c r="A266" s="30" t="s">
        <v>57</v>
      </c>
      <c r="B266" s="36">
        <v>12228.088017286917</v>
      </c>
      <c r="C266" s="32">
        <f>(B266/B262)*100</f>
        <v>21.408722405388129</v>
      </c>
      <c r="E266" s="36">
        <v>13917.154238246652</v>
      </c>
      <c r="F266" s="32">
        <f>(E266/E262)*100</f>
        <v>21.783962327298713</v>
      </c>
      <c r="H266" s="36">
        <v>14590.975807528894</v>
      </c>
      <c r="I266" s="32">
        <f>(H266/$H$262)*100</f>
        <v>21.803649842873597</v>
      </c>
      <c r="L266" s="88"/>
    </row>
    <row r="267" spans="1:13" ht="11.25" customHeight="1" x14ac:dyDescent="0.25">
      <c r="A267" s="30" t="s">
        <v>58</v>
      </c>
      <c r="B267" s="36">
        <v>5641.6109911622698</v>
      </c>
      <c r="C267" s="32">
        <f>(B267/B262)*100</f>
        <v>9.8772337472737135</v>
      </c>
      <c r="E267" s="36">
        <v>6489.8160292424236</v>
      </c>
      <c r="F267" s="32">
        <f>(E267/E262)*100</f>
        <v>10.158248264835443</v>
      </c>
      <c r="H267" s="36">
        <v>6601.0735291375295</v>
      </c>
      <c r="I267" s="32">
        <f>(H267/$H$262)*100</f>
        <v>9.8641446408341285</v>
      </c>
      <c r="L267" s="88"/>
    </row>
    <row r="268" spans="1:13" ht="27" customHeight="1" x14ac:dyDescent="0.25">
      <c r="A268" s="105" t="s">
        <v>79</v>
      </c>
      <c r="B268" s="112" t="s">
        <v>66</v>
      </c>
      <c r="C268" s="116" t="s">
        <v>66</v>
      </c>
      <c r="D268" s="113"/>
      <c r="E268" s="112" t="s">
        <v>66</v>
      </c>
      <c r="F268" s="116" t="s">
        <v>66</v>
      </c>
      <c r="G268" s="114"/>
      <c r="H268" s="112" t="s">
        <v>66</v>
      </c>
      <c r="I268" s="116" t="s">
        <v>66</v>
      </c>
      <c r="L268" s="88"/>
    </row>
    <row r="269" spans="1:13" ht="24.75" customHeight="1" x14ac:dyDescent="0.25">
      <c r="A269" s="37" t="s">
        <v>61</v>
      </c>
      <c r="B269" s="48">
        <f>B270+B271</f>
        <v>1687.708551565755</v>
      </c>
      <c r="C269" s="49">
        <f>C270+C271</f>
        <v>100</v>
      </c>
      <c r="E269" s="48">
        <f>E271+E270</f>
        <v>1892.1969625877891</v>
      </c>
      <c r="F269" s="49">
        <f>F271+F270</f>
        <v>100</v>
      </c>
      <c r="H269" s="48">
        <f>SUM(H270:H271)</f>
        <v>2014.9994023541633</v>
      </c>
      <c r="I269" s="49">
        <f>SUM(I270:I271)</f>
        <v>100</v>
      </c>
      <c r="L269" s="88"/>
    </row>
    <row r="270" spans="1:13" ht="11.25" customHeight="1" x14ac:dyDescent="0.25">
      <c r="A270" s="30" t="s">
        <v>63</v>
      </c>
      <c r="B270" s="36">
        <v>1413.91359819641</v>
      </c>
      <c r="C270" s="32">
        <f>(B270/$B$269)*100</f>
        <v>83.777118797239353</v>
      </c>
      <c r="E270" s="36">
        <v>1616.8316824132576</v>
      </c>
      <c r="F270" s="32">
        <f>(E270/E269)*100</f>
        <v>85.447324690874723</v>
      </c>
      <c r="H270" s="36">
        <v>1736.125063256733</v>
      </c>
      <c r="I270" s="32">
        <f>(H270/H269)*100</f>
        <v>86.160078322027502</v>
      </c>
      <c r="L270" s="88"/>
    </row>
    <row r="271" spans="1:13" s="4" customFormat="1" ht="11.25" customHeight="1" x14ac:dyDescent="0.25">
      <c r="A271" s="20" t="s">
        <v>80</v>
      </c>
      <c r="B271" s="99">
        <v>273.79495336934491</v>
      </c>
      <c r="C271" s="58">
        <f>(B271/$B$269)*100</f>
        <v>16.22288120276065</v>
      </c>
      <c r="D271" s="2"/>
      <c r="E271" s="99">
        <v>275.36528017453168</v>
      </c>
      <c r="F271" s="58">
        <f>(E271/E269)*100</f>
        <v>14.552675309125279</v>
      </c>
      <c r="G271" s="1"/>
      <c r="H271" s="99">
        <v>278.87433909743027</v>
      </c>
      <c r="I271" s="58">
        <f>(H271/H269)*100</f>
        <v>13.839921677972505</v>
      </c>
      <c r="J271" s="1"/>
      <c r="K271" s="1"/>
      <c r="L271" s="89"/>
    </row>
    <row r="272" spans="1:13" ht="26.25" customHeight="1" x14ac:dyDescent="0.25">
      <c r="A272" s="105" t="s">
        <v>86</v>
      </c>
      <c r="B272" s="112" t="s">
        <v>66</v>
      </c>
      <c r="C272" s="116" t="s">
        <v>66</v>
      </c>
      <c r="D272" s="112"/>
      <c r="E272" s="112" t="s">
        <v>66</v>
      </c>
      <c r="F272" s="116" t="s">
        <v>66</v>
      </c>
      <c r="G272" s="112"/>
      <c r="H272" s="112" t="s">
        <v>66</v>
      </c>
      <c r="I272" s="116" t="s">
        <v>66</v>
      </c>
      <c r="L272" s="88"/>
    </row>
    <row r="273" spans="1:33" ht="3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L273" s="88"/>
    </row>
    <row r="274" spans="1:33" ht="22.5" customHeight="1" x14ac:dyDescent="0.25">
      <c r="A274" s="393" t="s">
        <v>87</v>
      </c>
      <c r="B274" s="390"/>
      <c r="C274" s="390"/>
      <c r="D274" s="390"/>
      <c r="E274" s="390"/>
      <c r="F274" s="390"/>
      <c r="G274" s="390"/>
      <c r="H274" s="390"/>
      <c r="I274" s="390"/>
      <c r="J274" s="78"/>
      <c r="K274" s="78"/>
      <c r="L274" s="90"/>
      <c r="M274" s="391"/>
      <c r="N274" s="391"/>
      <c r="O274" s="391"/>
      <c r="P274" s="391"/>
      <c r="Q274" s="391"/>
      <c r="R274" s="391"/>
      <c r="S274" s="391"/>
      <c r="T274" s="391"/>
      <c r="U274" s="391"/>
      <c r="V274" s="391"/>
      <c r="W274" s="391"/>
      <c r="X274" s="391"/>
      <c r="Y274" s="391"/>
    </row>
    <row r="275" spans="1:33" s="10" customFormat="1" ht="11.25" customHeight="1" x14ac:dyDescent="0.25">
      <c r="A275" s="390" t="s">
        <v>88</v>
      </c>
      <c r="B275" s="390"/>
      <c r="C275" s="390"/>
      <c r="D275" s="390"/>
      <c r="E275" s="390"/>
      <c r="F275" s="390"/>
      <c r="G275" s="390"/>
      <c r="H275" s="390"/>
      <c r="I275" s="390"/>
      <c r="J275" s="77"/>
      <c r="K275" s="372"/>
      <c r="L275" s="91"/>
      <c r="M275" s="392"/>
      <c r="N275" s="392"/>
      <c r="O275" s="392"/>
      <c r="P275" s="375"/>
      <c r="Q275" s="65"/>
      <c r="R275" s="65"/>
      <c r="S275" s="7"/>
      <c r="T275" s="390"/>
      <c r="U275" s="390"/>
      <c r="V275" s="390"/>
      <c r="W275" s="390"/>
      <c r="X275" s="390"/>
      <c r="Y275" s="390"/>
      <c r="Z275" s="390"/>
      <c r="AA275" s="390"/>
      <c r="AB275" s="390"/>
      <c r="AC275" s="390"/>
      <c r="AD275" s="390"/>
      <c r="AE275" s="390"/>
      <c r="AF275" s="390"/>
      <c r="AG275" s="390"/>
    </row>
    <row r="276" spans="1:33" s="56" customFormat="1" ht="11.25" customHeight="1" x14ac:dyDescent="0.25">
      <c r="A276" s="390" t="s">
        <v>89</v>
      </c>
      <c r="B276" s="390"/>
      <c r="C276" s="390"/>
      <c r="D276" s="390"/>
      <c r="E276" s="390"/>
      <c r="F276" s="390"/>
      <c r="G276" s="60"/>
      <c r="H276" s="53"/>
      <c r="I276" s="30"/>
      <c r="J276" s="20"/>
      <c r="K276" s="30"/>
      <c r="L276" s="30"/>
      <c r="M276" s="46"/>
      <c r="N276" s="46"/>
      <c r="O276" s="52"/>
      <c r="P276" s="52"/>
      <c r="Q276" s="53"/>
      <c r="R276" s="30"/>
      <c r="S276" s="54"/>
      <c r="T276" s="30"/>
      <c r="U276" s="55"/>
      <c r="V276" s="30"/>
      <c r="W276" s="30"/>
      <c r="X276" s="53"/>
      <c r="Y276" s="20"/>
      <c r="Z276" s="30"/>
      <c r="AA276" s="30"/>
      <c r="AB276" s="30"/>
      <c r="AC276" s="30"/>
      <c r="AD276" s="55"/>
      <c r="AE276" s="30"/>
      <c r="AF276" s="30"/>
      <c r="AG276" s="53"/>
    </row>
    <row r="277" spans="1:33" s="4" customFormat="1" ht="11.25" customHeight="1" x14ac:dyDescent="0.25">
      <c r="A277" s="1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</row>
    <row r="278" spans="1:33" s="4" customFormat="1" ht="11.25" customHeight="1" x14ac:dyDescent="0.25">
      <c r="A278" s="1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</row>
    <row r="279" spans="1:33" s="4" customFormat="1" ht="11.25" customHeight="1" x14ac:dyDescent="0.25">
      <c r="A279" s="1"/>
      <c r="B279" s="1"/>
      <c r="C279" s="2"/>
      <c r="D279" s="2"/>
      <c r="E279" s="15"/>
      <c r="F279" s="1"/>
      <c r="G279" s="1"/>
      <c r="H279" s="1"/>
      <c r="I279" s="1"/>
      <c r="J279" s="1"/>
      <c r="K279" s="1"/>
      <c r="L279" s="1"/>
    </row>
    <row r="290" spans="6:6" x14ac:dyDescent="0.25">
      <c r="F290" s="122"/>
    </row>
    <row r="294" spans="6:6" x14ac:dyDescent="0.25">
      <c r="F294" s="123"/>
    </row>
    <row r="296" spans="6:6" x14ac:dyDescent="0.25">
      <c r="F296" s="122"/>
    </row>
  </sheetData>
  <mergeCells count="35">
    <mergeCell ref="A276:F276"/>
    <mergeCell ref="A219:A220"/>
    <mergeCell ref="H219:I219"/>
    <mergeCell ref="A216:I216"/>
    <mergeCell ref="A217:I218"/>
    <mergeCell ref="T275:X275"/>
    <mergeCell ref="Y275:AG275"/>
    <mergeCell ref="M274:Y274"/>
    <mergeCell ref="H156:I156"/>
    <mergeCell ref="M275:O275"/>
    <mergeCell ref="A274:I274"/>
    <mergeCell ref="A275:I275"/>
    <mergeCell ref="Y2:AE2"/>
    <mergeCell ref="A76:A77"/>
    <mergeCell ref="B76:C76"/>
    <mergeCell ref="A156:A157"/>
    <mergeCell ref="B219:C219"/>
    <mergeCell ref="E76:F76"/>
    <mergeCell ref="H76:I76"/>
    <mergeCell ref="E156:F156"/>
    <mergeCell ref="B156:C156"/>
    <mergeCell ref="M2:X2"/>
    <mergeCell ref="M3:X3"/>
    <mergeCell ref="A73:I73"/>
    <mergeCell ref="A74:I74"/>
    <mergeCell ref="A153:I153"/>
    <mergeCell ref="A154:I154"/>
    <mergeCell ref="Y3:AG3"/>
    <mergeCell ref="A2:I2"/>
    <mergeCell ref="K156:L156"/>
    <mergeCell ref="H5:I5"/>
    <mergeCell ref="E5:F5"/>
    <mergeCell ref="B5:C5"/>
    <mergeCell ref="A5:A6"/>
    <mergeCell ref="A3:I3"/>
  </mergeCells>
  <pageMargins left="0.34" right="0.15748031496062992" top="0.24" bottom="0.22" header="0.13" footer="0.17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DX392"/>
  <sheetViews>
    <sheetView topLeftCell="A70" zoomScaleNormal="100" workbookViewId="0">
      <selection activeCell="T120" sqref="T120"/>
    </sheetView>
  </sheetViews>
  <sheetFormatPr baseColWidth="10" defaultColWidth="11.42578125" defaultRowHeight="15" x14ac:dyDescent="0.25"/>
  <cols>
    <col min="1" max="1" width="23.42578125" customWidth="1"/>
    <col min="2" max="2" width="7.140625" customWidth="1"/>
    <col min="3" max="3" width="7.42578125" customWidth="1"/>
    <col min="4" max="4" width="0.42578125" customWidth="1"/>
    <col min="5" max="5" width="6.140625" customWidth="1"/>
    <col min="6" max="6" width="0.7109375" customWidth="1"/>
    <col min="7" max="7" width="7.5703125" customWidth="1"/>
    <col min="8" max="8" width="0.28515625" customWidth="1"/>
    <col min="9" max="9" width="6.7109375" customWidth="1"/>
    <col min="10" max="10" width="0.7109375" style="4" hidden="1" customWidth="1"/>
    <col min="11" max="11" width="7.5703125" customWidth="1"/>
    <col min="12" max="12" width="0.42578125" customWidth="1"/>
    <col min="13" max="13" width="6.140625" style="221" customWidth="1"/>
    <col min="14" max="14" width="7.140625" customWidth="1"/>
    <col min="15" max="15" width="0.28515625" customWidth="1"/>
    <col min="16" max="16" width="7.140625" customWidth="1"/>
    <col min="17" max="17" width="8.42578125" customWidth="1"/>
    <col min="18" max="22" width="13" bestFit="1" customWidth="1"/>
  </cols>
  <sheetData>
    <row r="1" spans="1:17" ht="11.25" customHeight="1" x14ac:dyDescent="0.25">
      <c r="A1" s="1"/>
      <c r="B1" s="1"/>
      <c r="C1" s="2"/>
      <c r="D1" s="2"/>
      <c r="E1" s="1"/>
      <c r="F1" s="1"/>
      <c r="G1" s="1"/>
      <c r="H1" s="1"/>
      <c r="I1" s="1"/>
      <c r="J1" s="1"/>
      <c r="K1" s="4"/>
      <c r="L1" s="4"/>
      <c r="N1" s="4"/>
      <c r="O1" s="4"/>
      <c r="P1" s="4"/>
      <c r="Q1" s="201" t="s">
        <v>90</v>
      </c>
    </row>
    <row r="2" spans="1:17" ht="12" customHeight="1" x14ac:dyDescent="0.25">
      <c r="A2" s="395" t="s">
        <v>91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</row>
    <row r="3" spans="1:17" ht="29.25" customHeight="1" x14ac:dyDescent="0.25">
      <c r="A3" s="394" t="s">
        <v>92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1:17" ht="12.75" customHeight="1" thickBot="1" x14ac:dyDescent="0.3">
      <c r="A4" s="397" t="s">
        <v>3</v>
      </c>
      <c r="B4" s="396">
        <v>2002</v>
      </c>
      <c r="C4" s="396"/>
      <c r="D4" s="377"/>
      <c r="E4" s="396">
        <v>2003</v>
      </c>
      <c r="F4" s="396"/>
      <c r="G4" s="396"/>
      <c r="H4" s="377"/>
      <c r="I4" s="396">
        <v>2004</v>
      </c>
      <c r="J4" s="396"/>
      <c r="K4" s="396"/>
      <c r="L4" s="184"/>
      <c r="M4" s="396">
        <v>2005</v>
      </c>
      <c r="N4" s="396"/>
      <c r="O4" s="184"/>
      <c r="P4" s="396">
        <v>2006</v>
      </c>
      <c r="Q4" s="396"/>
    </row>
    <row r="5" spans="1:17" ht="35.25" customHeight="1" x14ac:dyDescent="0.25">
      <c r="A5" s="397"/>
      <c r="B5" s="186" t="s">
        <v>93</v>
      </c>
      <c r="C5" s="185" t="s">
        <v>94</v>
      </c>
      <c r="D5" s="185"/>
      <c r="E5" s="186" t="s">
        <v>93</v>
      </c>
      <c r="F5" s="185"/>
      <c r="G5" s="185" t="s">
        <v>94</v>
      </c>
      <c r="H5" s="185"/>
      <c r="I5" s="186" t="s">
        <v>93</v>
      </c>
      <c r="J5" s="239"/>
      <c r="K5" s="185" t="s">
        <v>94</v>
      </c>
      <c r="L5" s="184"/>
      <c r="M5" s="222" t="s">
        <v>93</v>
      </c>
      <c r="N5" s="185" t="s">
        <v>94</v>
      </c>
      <c r="O5" s="184"/>
      <c r="P5" s="186" t="s">
        <v>93</v>
      </c>
      <c r="Q5" s="185" t="s">
        <v>94</v>
      </c>
    </row>
    <row r="6" spans="1:17" ht="14.25" customHeight="1" x14ac:dyDescent="0.25">
      <c r="A6" s="13" t="s">
        <v>6</v>
      </c>
      <c r="B6" s="14">
        <f>B7+B56+B65</f>
        <v>35396.143000000004</v>
      </c>
      <c r="C6" s="14"/>
      <c r="D6" s="14"/>
      <c r="E6" s="14">
        <f>E7+E56+E65</f>
        <v>45464.406999999999</v>
      </c>
      <c r="F6" s="14"/>
      <c r="G6" s="14"/>
      <c r="H6" s="16"/>
      <c r="I6" s="96">
        <f>I7+I56+I65</f>
        <v>73907.1728</v>
      </c>
      <c r="J6" s="80"/>
      <c r="K6" s="13"/>
      <c r="L6" s="16"/>
      <c r="M6" s="223">
        <f>M7+M56+M65</f>
        <v>83203.697999999989</v>
      </c>
      <c r="N6" s="16"/>
      <c r="O6" s="16"/>
      <c r="P6" s="96">
        <f>P7+P56+P65</f>
        <v>93360.352999999988</v>
      </c>
      <c r="Q6" s="16"/>
    </row>
    <row r="7" spans="1:17" ht="12" customHeight="1" x14ac:dyDescent="0.25">
      <c r="A7" s="187" t="s">
        <v>7</v>
      </c>
      <c r="B7" s="188">
        <f>B8+B11+B17+B20+B22+B26+B37+B46+B52</f>
        <v>17730.55</v>
      </c>
      <c r="C7" s="252">
        <f>C8+C11+C17+C20+C22+C26+C37+C46+C52</f>
        <v>100</v>
      </c>
      <c r="D7" s="189"/>
      <c r="E7" s="188">
        <f>E8+E11+E17+E20+E22+E26+E37+E46+E52</f>
        <v>23213.257999999998</v>
      </c>
      <c r="F7" s="188"/>
      <c r="G7" s="252">
        <f>G8+G11+G17+G20+G22+G26+G37+G46+G52</f>
        <v>100</v>
      </c>
      <c r="H7" s="189"/>
      <c r="I7" s="252">
        <f>I8+I11+I17+I20+I22+I26+I37+I46+I52</f>
        <v>34522.4228</v>
      </c>
      <c r="J7" s="240"/>
      <c r="K7" s="252">
        <f>K8+K11+K17+K20+K22+K26+K37+K46+K52</f>
        <v>99.999999999999986</v>
      </c>
      <c r="L7" s="190"/>
      <c r="M7" s="251">
        <f>M8+M11+M17+M20+M22+M26+M37+M46+M52</f>
        <v>36873.659</v>
      </c>
      <c r="N7" s="252">
        <f>N8+N11+N17+N20+N22+N26+N37+N46+N52</f>
        <v>99.999999999999986</v>
      </c>
      <c r="O7" s="191"/>
      <c r="P7" s="252">
        <f>P8+P11+P17+P20+P22+P26+P37+P46+P52</f>
        <v>43881.867999999995</v>
      </c>
      <c r="Q7" s="252">
        <f>Q8+Q11+Q17+Q20+Q22+Q26+Q37+Q46+Q52</f>
        <v>100.00000000000001</v>
      </c>
    </row>
    <row r="8" spans="1:17" ht="11.1" customHeight="1" x14ac:dyDescent="0.25">
      <c r="A8" s="148" t="s">
        <v>8</v>
      </c>
      <c r="B8" s="21">
        <f>B10+B9</f>
        <v>3420.6840000000002</v>
      </c>
      <c r="C8" s="25">
        <f>B8/B7*100</f>
        <v>19.292599496349521</v>
      </c>
      <c r="D8" s="26"/>
      <c r="E8" s="21">
        <f>E10+E9</f>
        <v>4113.0749999999998</v>
      </c>
      <c r="F8" s="21"/>
      <c r="G8" s="25">
        <f>E8/E7*100</f>
        <v>17.718645956547764</v>
      </c>
      <c r="H8" s="26"/>
      <c r="I8" s="158">
        <f>I10+I9</f>
        <v>8173.0159999999996</v>
      </c>
      <c r="J8" s="181"/>
      <c r="K8" s="25">
        <f>I8/I7*100</f>
        <v>23.674514524513615</v>
      </c>
      <c r="M8" s="29">
        <f>M10+M9</f>
        <v>9475.5959999999995</v>
      </c>
      <c r="N8" s="25">
        <f>M8/M7*100</f>
        <v>25.697466042087115</v>
      </c>
      <c r="O8" s="164"/>
      <c r="P8" s="161">
        <f>P10+P9</f>
        <v>10158.550999999999</v>
      </c>
      <c r="Q8" s="25">
        <f>P8/P7*100</f>
        <v>23.149768829348837</v>
      </c>
    </row>
    <row r="9" spans="1:17" ht="11.1" customHeight="1" x14ac:dyDescent="0.25">
      <c r="A9" s="30" t="s">
        <v>9</v>
      </c>
      <c r="B9" s="31">
        <v>3298.2190000000001</v>
      </c>
      <c r="C9" s="32">
        <f>B9/B7*100</f>
        <v>18.601898982265077</v>
      </c>
      <c r="D9" s="58"/>
      <c r="E9" s="31">
        <v>3865.569</v>
      </c>
      <c r="F9" s="31"/>
      <c r="G9" s="32">
        <f>E9/$E$7*100</f>
        <v>16.652419061555257</v>
      </c>
      <c r="H9" s="58"/>
      <c r="I9" s="155">
        <v>7816.6719999999996</v>
      </c>
      <c r="J9" s="63"/>
      <c r="K9" s="32">
        <f>I9/$I$7*100</f>
        <v>22.642304235958779</v>
      </c>
      <c r="M9" s="39">
        <v>9137.7610000000004</v>
      </c>
      <c r="N9" s="32">
        <f t="shared" ref="N9:N15" si="0">M9/$M$7*100</f>
        <v>24.781270011744699</v>
      </c>
      <c r="O9" s="164"/>
      <c r="P9" s="155">
        <v>9821.16</v>
      </c>
      <c r="Q9" s="32">
        <f t="shared" ref="Q9:Q15" si="1">P9/$P$7*100</f>
        <v>22.38090684744779</v>
      </c>
    </row>
    <row r="10" spans="1:17" ht="11.1" customHeight="1" x14ac:dyDescent="0.25">
      <c r="A10" s="30" t="s">
        <v>10</v>
      </c>
      <c r="B10" s="31">
        <v>122.465</v>
      </c>
      <c r="C10" s="32">
        <f>B10/B7*100</f>
        <v>0.69070051408444744</v>
      </c>
      <c r="D10" s="58"/>
      <c r="E10" s="31">
        <v>247.506</v>
      </c>
      <c r="F10" s="31"/>
      <c r="G10" s="32">
        <f>E10/$E$7*100</f>
        <v>1.0662268949925082</v>
      </c>
      <c r="H10" s="58"/>
      <c r="I10" s="155">
        <v>356.34399999999999</v>
      </c>
      <c r="J10" s="63"/>
      <c r="K10" s="32">
        <f>I10/$I$7*100</f>
        <v>1.0322102885548345</v>
      </c>
      <c r="M10" s="31">
        <v>337.83499999999998</v>
      </c>
      <c r="N10" s="32">
        <f t="shared" si="0"/>
        <v>0.9161960303424187</v>
      </c>
      <c r="O10" s="164"/>
      <c r="P10" s="155">
        <v>337.39100000000002</v>
      </c>
      <c r="Q10" s="32">
        <f t="shared" si="1"/>
        <v>0.76886198190104404</v>
      </c>
    </row>
    <row r="11" spans="1:17" ht="23.25" customHeight="1" x14ac:dyDescent="0.25">
      <c r="A11" s="149" t="s">
        <v>11</v>
      </c>
      <c r="B11" s="21">
        <f>B12+B13+B14+B15</f>
        <v>4350.8829999999998</v>
      </c>
      <c r="C11" s="38">
        <f>B11/B7*100</f>
        <v>24.538906012503841</v>
      </c>
      <c r="D11" s="59"/>
      <c r="E11" s="21">
        <f>E12+E13+E14+E15</f>
        <v>5853.2259999999997</v>
      </c>
      <c r="F11" s="21"/>
      <c r="G11" s="38">
        <f>E11/$E$7*100</f>
        <v>25.215012903402013</v>
      </c>
      <c r="H11" s="59"/>
      <c r="I11" s="158">
        <f>I12+I13+I14+I15</f>
        <v>7542.2959999999994</v>
      </c>
      <c r="J11" s="181"/>
      <c r="K11" s="38">
        <f>I11/$I$7*100</f>
        <v>21.847528036184062</v>
      </c>
      <c r="M11" s="21">
        <f>M12+M13+M14+M15</f>
        <v>8222.7560000000012</v>
      </c>
      <c r="N11" s="38">
        <f t="shared" si="0"/>
        <v>22.299810279202291</v>
      </c>
      <c r="O11" s="164"/>
      <c r="P11" s="158">
        <f>P12+P13+P14+P15</f>
        <v>10402.276</v>
      </c>
      <c r="Q11" s="38">
        <f t="shared" si="1"/>
        <v>23.705180463147105</v>
      </c>
    </row>
    <row r="12" spans="1:17" ht="11.1" customHeight="1" x14ac:dyDescent="0.25">
      <c r="A12" s="30" t="s">
        <v>12</v>
      </c>
      <c r="B12" s="31">
        <v>1954.6189999999999</v>
      </c>
      <c r="C12" s="32">
        <f>B12/$B$7*100</f>
        <v>11.024017867466041</v>
      </c>
      <c r="D12" s="58"/>
      <c r="E12" s="31">
        <v>2509.6120000000001</v>
      </c>
      <c r="F12" s="31"/>
      <c r="G12" s="32">
        <f>E12/$E$7*100</f>
        <v>10.81111492406624</v>
      </c>
      <c r="H12" s="58"/>
      <c r="I12" s="155">
        <v>3494.7060000000001</v>
      </c>
      <c r="J12" s="63"/>
      <c r="K12" s="32">
        <f>I12/$I$7*100</f>
        <v>10.123003302074153</v>
      </c>
      <c r="M12" s="39">
        <v>3713.1559999999999</v>
      </c>
      <c r="N12" s="32">
        <f t="shared" si="0"/>
        <v>10.069941797747818</v>
      </c>
      <c r="O12" s="164"/>
      <c r="P12" s="155">
        <v>4713.1239999999998</v>
      </c>
      <c r="Q12" s="32">
        <f t="shared" si="1"/>
        <v>10.740481695081897</v>
      </c>
    </row>
    <row r="13" spans="1:17" ht="11.1" customHeight="1" x14ac:dyDescent="0.25">
      <c r="A13" s="30" t="s">
        <v>13</v>
      </c>
      <c r="B13" s="31">
        <v>267.86700000000002</v>
      </c>
      <c r="C13" s="32">
        <f t="shared" ref="C13:C15" si="2">B13/$B$7*100</f>
        <v>1.5107653174887414</v>
      </c>
      <c r="D13" s="58"/>
      <c r="E13" s="31">
        <v>350.7</v>
      </c>
      <c r="F13" s="31"/>
      <c r="G13" s="32">
        <f t="shared" ref="G13:G15" si="3">E13/$E$7*100</f>
        <v>1.5107745754602824</v>
      </c>
      <c r="H13" s="58"/>
      <c r="I13" s="155">
        <v>378.37700000000001</v>
      </c>
      <c r="J13" s="63"/>
      <c r="K13" s="32">
        <f t="shared" ref="K13:K15" si="4">I13/$I$7*100</f>
        <v>1.0960325762535994</v>
      </c>
      <c r="M13" s="31">
        <v>576.32600000000002</v>
      </c>
      <c r="N13" s="32">
        <f t="shared" si="0"/>
        <v>1.5629748054024148</v>
      </c>
      <c r="O13" s="164"/>
      <c r="P13" s="155">
        <v>739.625</v>
      </c>
      <c r="Q13" s="32">
        <f t="shared" si="1"/>
        <v>1.6854911463659663</v>
      </c>
    </row>
    <row r="14" spans="1:17" ht="11.1" customHeight="1" x14ac:dyDescent="0.25">
      <c r="A14" s="30" t="s">
        <v>14</v>
      </c>
      <c r="B14" s="31">
        <v>1217.1969999999999</v>
      </c>
      <c r="C14" s="32">
        <f t="shared" si="2"/>
        <v>6.8649703477895496</v>
      </c>
      <c r="D14" s="58"/>
      <c r="E14" s="31">
        <v>1543.124</v>
      </c>
      <c r="F14" s="31"/>
      <c r="G14" s="32">
        <f t="shared" si="3"/>
        <v>6.6475976788781654</v>
      </c>
      <c r="H14" s="58"/>
      <c r="I14" s="155">
        <v>2372.3609999999999</v>
      </c>
      <c r="J14" s="63"/>
      <c r="K14" s="32">
        <f t="shared" si="4"/>
        <v>6.8719423713216319</v>
      </c>
      <c r="M14" s="31">
        <v>3098.6550000000002</v>
      </c>
      <c r="N14" s="32">
        <f t="shared" si="0"/>
        <v>8.4034378036635857</v>
      </c>
      <c r="O14" s="164"/>
      <c r="P14" s="155">
        <v>3517.2109999999998</v>
      </c>
      <c r="Q14" s="32">
        <f t="shared" si="1"/>
        <v>8.0151806664201271</v>
      </c>
    </row>
    <row r="15" spans="1:17" ht="10.5" customHeight="1" x14ac:dyDescent="0.25">
      <c r="A15" s="30" t="s">
        <v>15</v>
      </c>
      <c r="B15" s="31">
        <v>911.2</v>
      </c>
      <c r="C15" s="32">
        <f t="shared" si="2"/>
        <v>5.1391524797595114</v>
      </c>
      <c r="D15" s="58"/>
      <c r="E15" s="31">
        <v>1449.79</v>
      </c>
      <c r="F15" s="31"/>
      <c r="G15" s="32">
        <f t="shared" si="3"/>
        <v>6.2455257249973268</v>
      </c>
      <c r="H15" s="58"/>
      <c r="I15" s="155">
        <v>1296.8520000000001</v>
      </c>
      <c r="J15" s="63"/>
      <c r="K15" s="32">
        <f t="shared" si="4"/>
        <v>3.7565497865346811</v>
      </c>
      <c r="M15" s="31">
        <v>834.61900000000003</v>
      </c>
      <c r="N15" s="32">
        <f t="shared" si="0"/>
        <v>2.2634558723884712</v>
      </c>
      <c r="O15" s="164"/>
      <c r="P15" s="155">
        <v>1432.316</v>
      </c>
      <c r="Q15" s="32">
        <f t="shared" si="1"/>
        <v>3.2640269552791148</v>
      </c>
    </row>
    <row r="16" spans="1:17" ht="1.5" customHeight="1" x14ac:dyDescent="0.25">
      <c r="A16" s="30"/>
      <c r="B16" s="31"/>
      <c r="C16" s="32"/>
      <c r="D16" s="58"/>
      <c r="E16" s="31"/>
      <c r="F16" s="31"/>
      <c r="G16" s="32"/>
      <c r="H16" s="58"/>
      <c r="I16" s="157"/>
      <c r="J16" s="63"/>
      <c r="K16" s="32"/>
      <c r="M16" s="31"/>
      <c r="N16" s="32"/>
      <c r="O16" s="164"/>
      <c r="P16" s="157"/>
      <c r="Q16" s="32"/>
    </row>
    <row r="17" spans="1:17" ht="11.1" customHeight="1" x14ac:dyDescent="0.25">
      <c r="A17" s="148" t="s">
        <v>16</v>
      </c>
      <c r="B17" s="40">
        <f>B18+B19</f>
        <v>33.734000000000002</v>
      </c>
      <c r="C17" s="38">
        <f>B17/B7*100</f>
        <v>0.19025918541726006</v>
      </c>
      <c r="D17" s="59"/>
      <c r="E17" s="40">
        <f>E18+E19</f>
        <v>33.94</v>
      </c>
      <c r="F17" s="40"/>
      <c r="G17" s="38">
        <f>E17/E7*100</f>
        <v>0.14620954973231245</v>
      </c>
      <c r="H17" s="59"/>
      <c r="I17" s="158">
        <f>I18+I19</f>
        <v>72.86099999999999</v>
      </c>
      <c r="J17" s="226"/>
      <c r="K17" s="38">
        <f>I17/I7*100</f>
        <v>0.21105413262014736</v>
      </c>
      <c r="M17" s="29">
        <f>M18+M19</f>
        <v>41.35</v>
      </c>
      <c r="N17" s="38">
        <f>M17/M7*100</f>
        <v>0.11213967130302963</v>
      </c>
      <c r="O17" s="164"/>
      <c r="P17" s="158">
        <v>62.042000000000002</v>
      </c>
      <c r="Q17" s="25">
        <f>P17/P7*100</f>
        <v>0.14138413615391215</v>
      </c>
    </row>
    <row r="18" spans="1:17" ht="11.1" customHeight="1" x14ac:dyDescent="0.25">
      <c r="A18" s="30" t="s">
        <v>17</v>
      </c>
      <c r="B18" s="31">
        <v>33.386000000000003</v>
      </c>
      <c r="C18" s="32">
        <f>B18/B7*100</f>
        <v>0.18829647134465657</v>
      </c>
      <c r="D18" s="58"/>
      <c r="E18" s="31">
        <v>33.527999999999999</v>
      </c>
      <c r="F18" s="31"/>
      <c r="G18" s="32">
        <f>E18/$E$7*100</f>
        <v>0.14443470192766567</v>
      </c>
      <c r="H18" s="58"/>
      <c r="I18" s="155">
        <v>72.459999999999994</v>
      </c>
      <c r="J18" s="63"/>
      <c r="K18" s="32">
        <f>I18/$I$7*100</f>
        <v>0.20989256872203069</v>
      </c>
      <c r="M18" s="31">
        <v>40.945</v>
      </c>
      <c r="N18" s="32">
        <f>M18/M7*100</f>
        <v>0.1110413262757569</v>
      </c>
      <c r="O18" s="164"/>
      <c r="P18" s="155">
        <v>62.042000000000002</v>
      </c>
      <c r="Q18" s="32">
        <f>P18/P7*100</f>
        <v>0.14138413615391215</v>
      </c>
    </row>
    <row r="19" spans="1:17" ht="11.1" customHeight="1" x14ac:dyDescent="0.25">
      <c r="A19" s="30" t="s">
        <v>18</v>
      </c>
      <c r="B19" s="31">
        <v>0.34799999999999998</v>
      </c>
      <c r="C19" s="32">
        <f>B19/B7*100</f>
        <v>1.9627140726035004E-3</v>
      </c>
      <c r="D19" s="58"/>
      <c r="E19" s="31">
        <v>0.41199999999999998</v>
      </c>
      <c r="F19" s="31"/>
      <c r="G19" s="32">
        <f>E19/$E$7*100</f>
        <v>1.7748478046468101E-3</v>
      </c>
      <c r="H19" s="58"/>
      <c r="I19" s="155">
        <v>0.40100000000000002</v>
      </c>
      <c r="J19" s="63"/>
      <c r="K19" s="32">
        <f>I19/$I$7*100</f>
        <v>1.1615638981166757E-3</v>
      </c>
      <c r="M19" s="31">
        <v>0.40500000000000003</v>
      </c>
      <c r="N19" s="32">
        <f>M19/M7*100</f>
        <v>1.0983450272727207E-3</v>
      </c>
      <c r="O19" s="164"/>
      <c r="P19" s="155" t="s">
        <v>95</v>
      </c>
      <c r="Q19" s="115" t="s">
        <v>95</v>
      </c>
    </row>
    <row r="20" spans="1:17" ht="11.1" customHeight="1" x14ac:dyDescent="0.25">
      <c r="A20" s="148" t="s">
        <v>19</v>
      </c>
      <c r="B20" s="29">
        <f>B21</f>
        <v>1.9430000000000001</v>
      </c>
      <c r="C20" s="38">
        <f>B20/B7*100</f>
        <v>1.0958486905369547E-2</v>
      </c>
      <c r="D20" s="59"/>
      <c r="E20" s="29">
        <f>E21</f>
        <v>2.677</v>
      </c>
      <c r="F20" s="29"/>
      <c r="G20" s="38">
        <f>E20/E7*100</f>
        <v>1.1532202847183278E-2</v>
      </c>
      <c r="H20" s="59"/>
      <c r="I20" s="158">
        <f>I21</f>
        <v>1.9430000000000001</v>
      </c>
      <c r="J20" s="82"/>
      <c r="K20" s="38">
        <f>I20/I7*100</f>
        <v>5.628226069926935E-3</v>
      </c>
      <c r="M20" s="29">
        <f>M21</f>
        <v>1.214</v>
      </c>
      <c r="N20" s="38">
        <v>3.2923231187878591E-3</v>
      </c>
      <c r="O20" s="164"/>
      <c r="P20" s="121">
        <v>0</v>
      </c>
      <c r="Q20" s="165">
        <v>0</v>
      </c>
    </row>
    <row r="21" spans="1:17" ht="11.1" customHeight="1" x14ac:dyDescent="0.25">
      <c r="A21" s="30" t="s">
        <v>20</v>
      </c>
      <c r="B21" s="31">
        <v>1.9430000000000001</v>
      </c>
      <c r="C21" s="32">
        <f>B21/B7*100</f>
        <v>1.0958486905369547E-2</v>
      </c>
      <c r="D21" s="58"/>
      <c r="E21" s="31">
        <v>2.677</v>
      </c>
      <c r="F21" s="31"/>
      <c r="G21" s="32">
        <f>E21/E7*100</f>
        <v>1.1532202847183278E-2</v>
      </c>
      <c r="H21" s="58"/>
      <c r="I21" s="155">
        <v>1.9430000000000001</v>
      </c>
      <c r="J21" s="63"/>
      <c r="K21" s="32">
        <f>I21/I7*100</f>
        <v>5.628226069926935E-3</v>
      </c>
      <c r="M21" s="31">
        <v>1.214</v>
      </c>
      <c r="N21" s="32">
        <v>3.2923231187878591E-3</v>
      </c>
      <c r="O21" s="164"/>
      <c r="P21" s="115" t="s">
        <v>95</v>
      </c>
      <c r="Q21" s="115" t="s">
        <v>95</v>
      </c>
    </row>
    <row r="22" spans="1:17" ht="11.1" customHeight="1" x14ac:dyDescent="0.25">
      <c r="A22" s="148" t="s">
        <v>21</v>
      </c>
      <c r="B22" s="29">
        <f>B23+B24+B25</f>
        <v>890.51400000000001</v>
      </c>
      <c r="C22" s="38">
        <f>B22/B7*100</f>
        <v>5.0224837920989485</v>
      </c>
      <c r="D22" s="59"/>
      <c r="E22" s="29">
        <f>E23+E24+E25</f>
        <v>1054.088</v>
      </c>
      <c r="F22" s="29"/>
      <c r="G22" s="38">
        <f>E22/E7*100</f>
        <v>4.5408877978265698</v>
      </c>
      <c r="H22" s="59"/>
      <c r="I22" s="158">
        <f>I23+I24+I25</f>
        <v>1490.761</v>
      </c>
      <c r="J22" s="82"/>
      <c r="K22" s="38">
        <f>I22/I7*100</f>
        <v>4.3182397963100083</v>
      </c>
      <c r="M22" s="29">
        <f>M23+M24+M25</f>
        <v>1326.9250000000002</v>
      </c>
      <c r="N22" s="38">
        <f>M22/M7*100</f>
        <v>3.5985715439848271</v>
      </c>
      <c r="O22" s="164"/>
      <c r="P22" s="158">
        <f>P23+P24+P25</f>
        <v>2020.9859999999999</v>
      </c>
      <c r="Q22" s="38">
        <f>P22/P7*100</f>
        <v>4.6055149703289757</v>
      </c>
    </row>
    <row r="23" spans="1:17" ht="11.1" customHeight="1" x14ac:dyDescent="0.25">
      <c r="A23" s="30" t="s">
        <v>22</v>
      </c>
      <c r="B23" s="31">
        <v>517.99599999999998</v>
      </c>
      <c r="C23" s="32">
        <f>B23/$B$7*100</f>
        <v>2.9214886171043766</v>
      </c>
      <c r="D23" s="58"/>
      <c r="E23" s="31">
        <v>572.47400000000005</v>
      </c>
      <c r="F23" s="31"/>
      <c r="G23" s="32">
        <f>E23/$E$7*100</f>
        <v>2.4661510245567428</v>
      </c>
      <c r="H23" s="58"/>
      <c r="I23" s="155">
        <v>906.44600000000003</v>
      </c>
      <c r="J23" s="63"/>
      <c r="K23" s="32">
        <f>I23/$I$7*100</f>
        <v>2.6256731900056565</v>
      </c>
      <c r="M23" s="31">
        <v>752.58600000000001</v>
      </c>
      <c r="N23" s="32">
        <f t="shared" ref="N23:N35" si="5">M23/$M$7*100</f>
        <v>2.0409854091236239</v>
      </c>
      <c r="O23" s="164"/>
      <c r="P23" s="155">
        <v>1156.797</v>
      </c>
      <c r="Q23" s="32">
        <f t="shared" ref="Q23:Q50" si="6">P23/$P$7*100</f>
        <v>2.6361617057870013</v>
      </c>
    </row>
    <row r="24" spans="1:17" ht="11.1" customHeight="1" x14ac:dyDescent="0.25">
      <c r="A24" s="30" t="s">
        <v>23</v>
      </c>
      <c r="B24" s="31">
        <v>290.15899999999999</v>
      </c>
      <c r="C24" s="32">
        <f t="shared" ref="C24:C35" si="7">B24/$B$7*100</f>
        <v>1.6364918177947103</v>
      </c>
      <c r="D24" s="58"/>
      <c r="E24" s="31">
        <v>332.56400000000002</v>
      </c>
      <c r="F24" s="31"/>
      <c r="G24" s="32">
        <f t="shared" ref="G24:G35" si="8">E24/$E$7*100</f>
        <v>1.4326468089916549</v>
      </c>
      <c r="H24" s="58"/>
      <c r="I24" s="155">
        <v>374.154</v>
      </c>
      <c r="J24" s="63"/>
      <c r="K24" s="32">
        <f t="shared" ref="K24:K25" si="9">I24/$I$7*100</f>
        <v>1.0837999469724355</v>
      </c>
      <c r="M24" s="31">
        <v>372.56400000000002</v>
      </c>
      <c r="N24" s="32">
        <f t="shared" si="5"/>
        <v>1.0103797944218122</v>
      </c>
      <c r="O24" s="164"/>
      <c r="P24" s="155">
        <v>556.88599999999997</v>
      </c>
      <c r="Q24" s="32">
        <f t="shared" si="6"/>
        <v>1.2690571878116037</v>
      </c>
    </row>
    <row r="25" spans="1:17" ht="11.1" customHeight="1" x14ac:dyDescent="0.25">
      <c r="A25" s="30" t="s">
        <v>24</v>
      </c>
      <c r="B25" s="31">
        <v>82.358999999999995</v>
      </c>
      <c r="C25" s="32">
        <f t="shared" si="7"/>
        <v>0.46450335719986124</v>
      </c>
      <c r="D25" s="58"/>
      <c r="E25" s="31">
        <v>149.05000000000001</v>
      </c>
      <c r="F25" s="31"/>
      <c r="G25" s="32">
        <f t="shared" si="8"/>
        <v>0.64208996427817255</v>
      </c>
      <c r="H25" s="58"/>
      <c r="I25" s="155">
        <v>210.161</v>
      </c>
      <c r="J25" s="63"/>
      <c r="K25" s="32">
        <f t="shared" si="9"/>
        <v>0.60876665933191687</v>
      </c>
      <c r="M25" s="31">
        <v>201.77500000000001</v>
      </c>
      <c r="N25" s="32">
        <f t="shared" si="5"/>
        <v>0.54720634043939065</v>
      </c>
      <c r="O25" s="164"/>
      <c r="P25" s="155">
        <v>307.303</v>
      </c>
      <c r="Q25" s="32">
        <f t="shared" si="6"/>
        <v>0.70029607673037086</v>
      </c>
    </row>
    <row r="26" spans="1:17" ht="15" customHeight="1" x14ac:dyDescent="0.25">
      <c r="A26" s="149" t="s">
        <v>25</v>
      </c>
      <c r="B26" s="21">
        <f>B28+B29+B30+B31+B32+B33+B34+B35</f>
        <v>2274.634</v>
      </c>
      <c r="C26" s="38">
        <f t="shared" si="7"/>
        <v>12.828897016731011</v>
      </c>
      <c r="D26" s="38"/>
      <c r="E26" s="21">
        <f>E28+E29+E30+E31+E32+E33+E34+E35</f>
        <v>2910.4530000000004</v>
      </c>
      <c r="F26" s="21"/>
      <c r="G26" s="38">
        <f t="shared" si="8"/>
        <v>12.537891062081851</v>
      </c>
      <c r="H26" s="38"/>
      <c r="I26" s="158">
        <f>I28+I29+I30+I31+I32+I33+I34+I35</f>
        <v>4378.7717999999995</v>
      </c>
      <c r="J26" s="181"/>
      <c r="K26" s="38">
        <f>I26/$I$7*100</f>
        <v>12.683848481225365</v>
      </c>
      <c r="L26" s="166"/>
      <c r="M26" s="21">
        <f>M28+M29+M30+M31+M32+M33+M34+M35</f>
        <v>3875.8619999999996</v>
      </c>
      <c r="N26" s="38">
        <f t="shared" si="5"/>
        <v>10.5111944545563</v>
      </c>
      <c r="O26" s="180"/>
      <c r="P26" s="158">
        <f>P28+P29+P30+P31+P32+P33+P34+P35</f>
        <v>4125.8019999999997</v>
      </c>
      <c r="Q26" s="38">
        <f t="shared" si="6"/>
        <v>9.402065563845186</v>
      </c>
    </row>
    <row r="27" spans="1:17" ht="2.25" hidden="1" customHeight="1" x14ac:dyDescent="0.25">
      <c r="A27" s="30"/>
      <c r="B27" s="31"/>
      <c r="C27" s="38">
        <f t="shared" si="7"/>
        <v>0</v>
      </c>
      <c r="D27" s="58"/>
      <c r="E27" s="31"/>
      <c r="F27" s="31"/>
      <c r="G27" s="38">
        <f t="shared" si="8"/>
        <v>0</v>
      </c>
      <c r="H27" s="58"/>
      <c r="I27" s="157"/>
      <c r="J27" s="63"/>
      <c r="K27" s="38">
        <f t="shared" ref="K27:K35" si="10">I27/$I$7*100</f>
        <v>0</v>
      </c>
      <c r="M27" s="31">
        <v>0</v>
      </c>
      <c r="N27" s="38">
        <f t="shared" si="5"/>
        <v>0</v>
      </c>
      <c r="O27" s="164"/>
      <c r="P27" s="157">
        <v>0</v>
      </c>
      <c r="Q27" s="32">
        <f t="shared" si="6"/>
        <v>0</v>
      </c>
    </row>
    <row r="28" spans="1:17" ht="10.5" customHeight="1" x14ac:dyDescent="0.25">
      <c r="A28" s="30" t="s">
        <v>26</v>
      </c>
      <c r="B28" s="31">
        <v>342.06599999999997</v>
      </c>
      <c r="C28" s="118">
        <f>B28/$B$7*100</f>
        <v>1.9292464136758305</v>
      </c>
      <c r="D28" s="58"/>
      <c r="E28" s="31">
        <v>445.13400000000001</v>
      </c>
      <c r="F28" s="31"/>
      <c r="G28" s="118">
        <f t="shared" si="8"/>
        <v>1.9175852006642069</v>
      </c>
      <c r="H28" s="58"/>
      <c r="I28" s="155">
        <v>577.06799999999998</v>
      </c>
      <c r="J28" s="63"/>
      <c r="K28" s="118">
        <f t="shared" si="10"/>
        <v>1.6715744527640741</v>
      </c>
      <c r="M28" s="31">
        <v>690.11699999999996</v>
      </c>
      <c r="N28" s="118">
        <f t="shared" si="5"/>
        <v>1.8715717905836249</v>
      </c>
      <c r="O28" s="164"/>
      <c r="P28" s="155">
        <v>656.94</v>
      </c>
      <c r="Q28" s="32">
        <f t="shared" si="6"/>
        <v>1.4970648013434618</v>
      </c>
    </row>
    <row r="29" spans="1:17" ht="10.5" customHeight="1" x14ac:dyDescent="0.25">
      <c r="A29" s="30" t="s">
        <v>27</v>
      </c>
      <c r="B29" s="31">
        <v>115.443</v>
      </c>
      <c r="C29" s="118">
        <f t="shared" si="7"/>
        <v>0.6510965536884078</v>
      </c>
      <c r="D29" s="58"/>
      <c r="E29" s="31">
        <v>134.52799999999999</v>
      </c>
      <c r="F29" s="31"/>
      <c r="G29" s="118">
        <f t="shared" si="8"/>
        <v>0.57953088704739331</v>
      </c>
      <c r="H29" s="58"/>
      <c r="I29" s="155">
        <v>237.923</v>
      </c>
      <c r="J29" s="63"/>
      <c r="K29" s="118">
        <f t="shared" si="10"/>
        <v>0.68918395843295222</v>
      </c>
      <c r="M29" s="31">
        <v>302.029</v>
      </c>
      <c r="N29" s="118">
        <f t="shared" si="5"/>
        <v>0.81909148207938898</v>
      </c>
      <c r="O29" s="164"/>
      <c r="P29" s="155">
        <v>246.048</v>
      </c>
      <c r="Q29" s="32">
        <f t="shared" si="6"/>
        <v>0.56070539203116887</v>
      </c>
    </row>
    <row r="30" spans="1:17" ht="10.5" customHeight="1" x14ac:dyDescent="0.25">
      <c r="A30" s="30" t="s">
        <v>28</v>
      </c>
      <c r="B30" s="31">
        <v>457.51</v>
      </c>
      <c r="C30" s="118">
        <f t="shared" si="7"/>
        <v>2.5803486073472057</v>
      </c>
      <c r="D30" s="58"/>
      <c r="E30" s="31">
        <v>496.20299999999997</v>
      </c>
      <c r="F30" s="31"/>
      <c r="G30" s="118">
        <f t="shared" si="8"/>
        <v>2.1375844786630123</v>
      </c>
      <c r="H30" s="58"/>
      <c r="I30" s="155">
        <v>937.65499999999997</v>
      </c>
      <c r="J30" s="63"/>
      <c r="K30" s="118">
        <f t="shared" si="10"/>
        <v>2.7160753039615746</v>
      </c>
      <c r="M30" s="31">
        <v>1307.4469999999999</v>
      </c>
      <c r="N30" s="118">
        <f t="shared" si="5"/>
        <v>3.5457479280805844</v>
      </c>
      <c r="O30" s="164"/>
      <c r="P30" s="155">
        <v>1257.346</v>
      </c>
      <c r="Q30" s="32">
        <f t="shared" si="6"/>
        <v>2.8652973478704236</v>
      </c>
    </row>
    <row r="31" spans="1:17" ht="10.5" customHeight="1" x14ac:dyDescent="0.25">
      <c r="A31" s="30" t="s">
        <v>29</v>
      </c>
      <c r="B31" s="31">
        <v>539.81600000000003</v>
      </c>
      <c r="C31" s="118">
        <f t="shared" si="7"/>
        <v>3.0445530454498031</v>
      </c>
      <c r="D31" s="58"/>
      <c r="E31" s="31">
        <v>761.97400000000005</v>
      </c>
      <c r="F31" s="31"/>
      <c r="G31" s="118">
        <f t="shared" si="8"/>
        <v>3.2824948570338561</v>
      </c>
      <c r="H31" s="58"/>
      <c r="I31" s="155">
        <v>1466.1469999999999</v>
      </c>
      <c r="J31" s="63"/>
      <c r="K31" s="118">
        <f t="shared" si="10"/>
        <v>4.2469412083094005</v>
      </c>
      <c r="M31" s="31">
        <v>521.49199999999996</v>
      </c>
      <c r="N31" s="118">
        <f t="shared" si="5"/>
        <v>1.4142670245987792</v>
      </c>
      <c r="O31" s="164"/>
      <c r="P31" s="155">
        <v>541.95699999999999</v>
      </c>
      <c r="Q31" s="32">
        <f t="shared" si="6"/>
        <v>1.2350363024655195</v>
      </c>
    </row>
    <row r="32" spans="1:17" ht="10.5" customHeight="1" x14ac:dyDescent="0.25">
      <c r="A32" s="30" t="s">
        <v>30</v>
      </c>
      <c r="B32" s="31">
        <v>183.559</v>
      </c>
      <c r="C32" s="118">
        <f t="shared" si="7"/>
        <v>1.035269633485707</v>
      </c>
      <c r="D32" s="58"/>
      <c r="E32" s="31">
        <v>219.3</v>
      </c>
      <c r="F32" s="31"/>
      <c r="G32" s="118">
        <f t="shared" si="8"/>
        <v>0.94471874650253773</v>
      </c>
      <c r="H32" s="58"/>
      <c r="I32" s="155">
        <v>223.37100000000001</v>
      </c>
      <c r="J32" s="63"/>
      <c r="K32" s="118">
        <f t="shared" si="10"/>
        <v>0.64703164460403984</v>
      </c>
      <c r="M32" s="31">
        <v>216.46199999999999</v>
      </c>
      <c r="N32" s="118">
        <f t="shared" si="5"/>
        <v>0.58703694146545093</v>
      </c>
      <c r="O32" s="164"/>
      <c r="P32" s="155">
        <v>412.43400000000003</v>
      </c>
      <c r="Q32" s="32">
        <f t="shared" si="6"/>
        <v>0.93987338916383423</v>
      </c>
    </row>
    <row r="33" spans="1:17" ht="10.5" customHeight="1" x14ac:dyDescent="0.25">
      <c r="A33" s="30" t="s">
        <v>31</v>
      </c>
      <c r="B33" s="31">
        <v>394.66699999999997</v>
      </c>
      <c r="C33" s="118">
        <f t="shared" si="7"/>
        <v>2.2259151577362237</v>
      </c>
      <c r="D33" s="58"/>
      <c r="E33" s="31">
        <v>646.92899999999997</v>
      </c>
      <c r="F33" s="31"/>
      <c r="G33" s="118">
        <f t="shared" si="8"/>
        <v>2.7868944548843597</v>
      </c>
      <c r="H33" s="58"/>
      <c r="I33" s="155">
        <v>830.70100000000002</v>
      </c>
      <c r="J33" s="63"/>
      <c r="K33" s="118">
        <f t="shared" si="10"/>
        <v>2.4062650666569092</v>
      </c>
      <c r="M33" s="31">
        <v>781.20899999999995</v>
      </c>
      <c r="N33" s="118">
        <f t="shared" si="5"/>
        <v>2.1186099269399872</v>
      </c>
      <c r="O33" s="164"/>
      <c r="P33" s="155">
        <v>808.71600000000001</v>
      </c>
      <c r="Q33" s="32">
        <f t="shared" si="6"/>
        <v>1.8429388648632736</v>
      </c>
    </row>
    <row r="34" spans="1:17" ht="10.5" customHeight="1" x14ac:dyDescent="0.25">
      <c r="A34" s="30" t="s">
        <v>32</v>
      </c>
      <c r="B34" s="31">
        <v>228.233</v>
      </c>
      <c r="C34" s="118">
        <f t="shared" si="7"/>
        <v>1.2872302325646976</v>
      </c>
      <c r="D34" s="58"/>
      <c r="E34" s="31">
        <v>191.93600000000001</v>
      </c>
      <c r="F34" s="31"/>
      <c r="G34" s="118">
        <f t="shared" si="8"/>
        <v>0.82683783551623824</v>
      </c>
      <c r="H34" s="58"/>
      <c r="I34" s="155">
        <v>89.84</v>
      </c>
      <c r="J34" s="63"/>
      <c r="K34" s="118">
        <f t="shared" si="10"/>
        <v>0.26023665986733702</v>
      </c>
      <c r="M34" s="31">
        <v>46.466000000000001</v>
      </c>
      <c r="N34" s="118">
        <f t="shared" si="5"/>
        <v>0.12601407416605984</v>
      </c>
      <c r="O34" s="164"/>
      <c r="P34" s="155">
        <v>184.47200000000001</v>
      </c>
      <c r="Q34" s="32">
        <f t="shared" si="6"/>
        <v>0.4203831979076188</v>
      </c>
    </row>
    <row r="35" spans="1:17" ht="10.5" customHeight="1" x14ac:dyDescent="0.25">
      <c r="A35" s="30" t="s">
        <v>96</v>
      </c>
      <c r="B35" s="31">
        <v>13.34</v>
      </c>
      <c r="C35" s="118">
        <f t="shared" si="7"/>
        <v>7.5237372783134193E-2</v>
      </c>
      <c r="D35" s="58"/>
      <c r="E35" s="31">
        <v>14.449</v>
      </c>
      <c r="F35" s="31"/>
      <c r="G35" s="118">
        <f t="shared" si="8"/>
        <v>6.2244601770246995E-2</v>
      </c>
      <c r="H35" s="58"/>
      <c r="I35" s="155">
        <v>16.066800000000001</v>
      </c>
      <c r="J35" s="63"/>
      <c r="K35" s="118">
        <f t="shared" si="10"/>
        <v>4.6540186629079813E-2</v>
      </c>
      <c r="M35" s="31">
        <v>10.64</v>
      </c>
      <c r="N35" s="118">
        <f t="shared" si="5"/>
        <v>2.885528664242407E-2</v>
      </c>
      <c r="O35" s="164"/>
      <c r="P35" s="155">
        <v>17.888999999999999</v>
      </c>
      <c r="Q35" s="32">
        <f t="shared" si="6"/>
        <v>4.0766268199886116E-2</v>
      </c>
    </row>
    <row r="36" spans="1:17" ht="1.5" customHeight="1" x14ac:dyDescent="0.25">
      <c r="A36" s="30"/>
      <c r="B36" s="31"/>
      <c r="C36" s="32"/>
      <c r="D36" s="58"/>
      <c r="E36" s="31"/>
      <c r="F36" s="31"/>
      <c r="G36" s="32"/>
      <c r="H36" s="58"/>
      <c r="I36" s="157"/>
      <c r="J36" s="63"/>
      <c r="K36" s="32"/>
      <c r="M36" s="31"/>
      <c r="N36" s="32"/>
      <c r="O36" s="164"/>
      <c r="P36" s="157"/>
      <c r="Q36" s="32"/>
    </row>
    <row r="37" spans="1:17" ht="12.75" customHeight="1" x14ac:dyDescent="0.25">
      <c r="A37" s="148" t="s">
        <v>34</v>
      </c>
      <c r="B37" s="44">
        <f>B38+B39+B40+B41+B42+B43+B44+B45</f>
        <v>3568.42</v>
      </c>
      <c r="C37" s="25">
        <f t="shared" ref="C37" si="11">B37/$B$7*100</f>
        <v>20.125828019999382</v>
      </c>
      <c r="D37" s="59"/>
      <c r="E37" s="44">
        <f>E38+E39+E40+E41+E42+E43+E44+E45</f>
        <v>4939.7919999999995</v>
      </c>
      <c r="F37" s="44"/>
      <c r="G37" s="38">
        <f>E37/E7*100</f>
        <v>21.280046084009406</v>
      </c>
      <c r="H37" s="59"/>
      <c r="I37" s="158">
        <f>I38+I39+I40+I41+I42+I43+I44+I45</f>
        <v>6264.0249999999996</v>
      </c>
      <c r="J37" s="82"/>
      <c r="K37" s="38">
        <f>I37/I7*100</f>
        <v>18.144801239152887</v>
      </c>
      <c r="M37" s="44">
        <f>M38+M39+M40+M41+M42+M43+M44+M45</f>
        <v>6438.54</v>
      </c>
      <c r="N37" s="38">
        <f>M37/M7*100</f>
        <v>17.461082449127165</v>
      </c>
      <c r="O37" s="164"/>
      <c r="P37" s="158">
        <f>P38+P39+P40+P41+P42+P43+P44+P45</f>
        <v>8485.7360000000008</v>
      </c>
      <c r="Q37" s="25">
        <f t="shared" si="6"/>
        <v>19.337681796043874</v>
      </c>
    </row>
    <row r="38" spans="1:17" ht="9.75" customHeight="1" x14ac:dyDescent="0.25">
      <c r="A38" s="30" t="s">
        <v>35</v>
      </c>
      <c r="B38" s="31">
        <v>553.70699999999999</v>
      </c>
      <c r="C38" s="32">
        <f>B38/$B$7*100</f>
        <v>3.1228980488478926</v>
      </c>
      <c r="D38" s="58"/>
      <c r="E38" s="31">
        <v>674.33699999999999</v>
      </c>
      <c r="F38" s="31"/>
      <c r="G38" s="32">
        <f>E38/$E$7*100</f>
        <v>2.9049649127235826</v>
      </c>
      <c r="H38" s="58"/>
      <c r="I38" s="155">
        <v>1512.6590000000001</v>
      </c>
      <c r="J38" s="63"/>
      <c r="K38" s="32">
        <f>I38/$I$7*100</f>
        <v>4.3816710338186349</v>
      </c>
      <c r="M38" s="31">
        <v>1411.9</v>
      </c>
      <c r="N38" s="32">
        <f t="shared" ref="N38:N50" si="12">M38/$M$7*100</f>
        <v>3.8290206024848255</v>
      </c>
      <c r="O38" s="164"/>
      <c r="P38" s="155">
        <v>1281.0630000000001</v>
      </c>
      <c r="Q38" s="32">
        <f t="shared" si="6"/>
        <v>2.9193447279865121</v>
      </c>
    </row>
    <row r="39" spans="1:17" ht="9.75" customHeight="1" x14ac:dyDescent="0.25">
      <c r="A39" s="30" t="s">
        <v>36</v>
      </c>
      <c r="B39" s="31">
        <v>160.87899999999999</v>
      </c>
      <c r="C39" s="32">
        <f t="shared" ref="C39:C45" si="13">B39/$B$7*100</f>
        <v>0.90735481978844423</v>
      </c>
      <c r="D39" s="58"/>
      <c r="E39" s="31">
        <v>334.36099999999999</v>
      </c>
      <c r="F39" s="31"/>
      <c r="G39" s="32">
        <f t="shared" ref="G39:G46" si="14">E39/$E$7*100</f>
        <v>1.4403880747803692</v>
      </c>
      <c r="H39" s="58"/>
      <c r="I39" s="155">
        <v>434.27699999999999</v>
      </c>
      <c r="J39" s="63"/>
      <c r="K39" s="32">
        <f t="shared" ref="K39:K45" si="15">I39/$I$7*100</f>
        <v>1.2579563216519092</v>
      </c>
      <c r="M39" s="31">
        <v>415.17899999999997</v>
      </c>
      <c r="N39" s="32">
        <f t="shared" si="12"/>
        <v>1.1259500989581748</v>
      </c>
      <c r="O39" s="164"/>
      <c r="P39" s="155">
        <v>346.125</v>
      </c>
      <c r="Q39" s="32">
        <f t="shared" si="6"/>
        <v>0.78876541901087716</v>
      </c>
    </row>
    <row r="40" spans="1:17" ht="9.75" customHeight="1" x14ac:dyDescent="0.25">
      <c r="A40" s="30" t="s">
        <v>37</v>
      </c>
      <c r="B40" s="31">
        <v>257.78399999999999</v>
      </c>
      <c r="C40" s="32">
        <f t="shared" si="13"/>
        <v>1.4538973692299448</v>
      </c>
      <c r="D40" s="58"/>
      <c r="E40" s="31">
        <v>300.42700000000002</v>
      </c>
      <c r="F40" s="31"/>
      <c r="G40" s="32">
        <f t="shared" si="14"/>
        <v>1.2942043723461827</v>
      </c>
      <c r="H40" s="58"/>
      <c r="I40" s="155">
        <v>397.04199999999997</v>
      </c>
      <c r="J40" s="63"/>
      <c r="K40" s="32">
        <f t="shared" si="15"/>
        <v>1.1500988858754142</v>
      </c>
      <c r="M40" s="31">
        <v>257.125</v>
      </c>
      <c r="N40" s="32">
        <f t="shared" si="12"/>
        <v>0.69731349416666244</v>
      </c>
      <c r="O40" s="164"/>
      <c r="P40" s="155">
        <v>453.03699999999998</v>
      </c>
      <c r="Q40" s="32">
        <f t="shared" si="6"/>
        <v>1.0324013553844154</v>
      </c>
    </row>
    <row r="41" spans="1:17" ht="9.75" customHeight="1" x14ac:dyDescent="0.25">
      <c r="A41" s="30" t="s">
        <v>38</v>
      </c>
      <c r="B41" s="31">
        <v>223.92</v>
      </c>
      <c r="C41" s="32">
        <f t="shared" si="13"/>
        <v>1.2629049860269421</v>
      </c>
      <c r="D41" s="58"/>
      <c r="E41" s="31">
        <v>255.59800000000001</v>
      </c>
      <c r="F41" s="31"/>
      <c r="G41" s="32">
        <f t="shared" si="14"/>
        <v>1.1010862843983382</v>
      </c>
      <c r="H41" s="58"/>
      <c r="I41" s="155">
        <v>347.93200000000002</v>
      </c>
      <c r="J41" s="63"/>
      <c r="K41" s="32">
        <f t="shared" si="15"/>
        <v>1.0078435167070605</v>
      </c>
      <c r="M41" s="31">
        <v>320.23599999999999</v>
      </c>
      <c r="N41" s="32">
        <f t="shared" si="12"/>
        <v>0.86846819297211586</v>
      </c>
      <c r="O41" s="164"/>
      <c r="P41" s="155">
        <v>1095.32</v>
      </c>
      <c r="Q41" s="32">
        <f t="shared" si="6"/>
        <v>2.4960651173737638</v>
      </c>
    </row>
    <row r="42" spans="1:17" ht="9.75" customHeight="1" x14ac:dyDescent="0.25">
      <c r="A42" s="30" t="s">
        <v>39</v>
      </c>
      <c r="B42" s="31">
        <v>354.42899999999997</v>
      </c>
      <c r="C42" s="32">
        <f t="shared" si="13"/>
        <v>1.9989735230999603</v>
      </c>
      <c r="D42" s="58"/>
      <c r="E42" s="31">
        <v>455.74299999999999</v>
      </c>
      <c r="F42" s="31"/>
      <c r="G42" s="32">
        <f t="shared" si="14"/>
        <v>1.9632875316338623</v>
      </c>
      <c r="H42" s="58"/>
      <c r="I42" s="155">
        <v>530.68299999999999</v>
      </c>
      <c r="J42" s="63"/>
      <c r="K42" s="32">
        <f t="shared" si="15"/>
        <v>1.5372125041003784</v>
      </c>
      <c r="M42" s="31">
        <v>557.34</v>
      </c>
      <c r="N42" s="32">
        <f t="shared" si="12"/>
        <v>1.5114854753090818</v>
      </c>
      <c r="O42" s="164"/>
      <c r="P42" s="155">
        <v>670.31700000000001</v>
      </c>
      <c r="Q42" s="32">
        <f t="shared" si="6"/>
        <v>1.5275489183824174</v>
      </c>
    </row>
    <row r="43" spans="1:17" ht="9.75" customHeight="1" x14ac:dyDescent="0.25">
      <c r="A43" s="30" t="s">
        <v>40</v>
      </c>
      <c r="B43" s="31">
        <v>540.452</v>
      </c>
      <c r="C43" s="32">
        <f t="shared" si="13"/>
        <v>3.0481400746169744</v>
      </c>
      <c r="D43" s="58"/>
      <c r="E43" s="31">
        <v>744.48</v>
      </c>
      <c r="F43" s="31"/>
      <c r="G43" s="32">
        <f t="shared" si="14"/>
        <v>3.2071327514647021</v>
      </c>
      <c r="H43" s="58"/>
      <c r="I43" s="155">
        <v>417.78</v>
      </c>
      <c r="J43" s="63"/>
      <c r="K43" s="32">
        <f t="shared" si="15"/>
        <v>1.2101699884169195</v>
      </c>
      <c r="M43" s="31">
        <v>902.37699999999995</v>
      </c>
      <c r="N43" s="32">
        <f t="shared" si="12"/>
        <v>2.4472130633957425</v>
      </c>
      <c r="O43" s="164"/>
      <c r="P43" s="155">
        <v>1014.987</v>
      </c>
      <c r="Q43" s="32">
        <f t="shared" si="6"/>
        <v>2.3129986171053614</v>
      </c>
    </row>
    <row r="44" spans="1:17" ht="9.75" customHeight="1" x14ac:dyDescent="0.25">
      <c r="A44" s="30" t="s">
        <v>41</v>
      </c>
      <c r="B44" s="31">
        <v>750.09400000000005</v>
      </c>
      <c r="C44" s="32">
        <f t="shared" si="13"/>
        <v>4.2305173838375012</v>
      </c>
      <c r="D44" s="58"/>
      <c r="E44" s="31">
        <v>1334.8340000000001</v>
      </c>
      <c r="F44" s="31"/>
      <c r="G44" s="32">
        <f t="shared" si="14"/>
        <v>5.7503087244367004</v>
      </c>
      <c r="H44" s="58"/>
      <c r="I44" s="155">
        <v>1636.838</v>
      </c>
      <c r="J44" s="63"/>
      <c r="K44" s="32">
        <f t="shared" si="15"/>
        <v>4.7413763787169652</v>
      </c>
      <c r="M44" s="31">
        <v>1431.0139999999999</v>
      </c>
      <c r="N44" s="32">
        <f t="shared" si="12"/>
        <v>3.8808570638460367</v>
      </c>
      <c r="O44" s="164"/>
      <c r="P44" s="155">
        <v>2569.5880000000002</v>
      </c>
      <c r="Q44" s="32">
        <f t="shared" si="6"/>
        <v>5.8556942015321685</v>
      </c>
    </row>
    <row r="45" spans="1:17" ht="9.75" customHeight="1" x14ac:dyDescent="0.25">
      <c r="A45" s="30" t="s">
        <v>42</v>
      </c>
      <c r="B45" s="63">
        <v>727.15499999999997</v>
      </c>
      <c r="C45" s="32">
        <f t="shared" si="13"/>
        <v>4.1011418145517204</v>
      </c>
      <c r="D45" s="58"/>
      <c r="E45" s="31">
        <v>840.01199999999994</v>
      </c>
      <c r="F45" s="31"/>
      <c r="G45" s="32">
        <f t="shared" si="14"/>
        <v>3.6186734322256706</v>
      </c>
      <c r="H45" s="58"/>
      <c r="I45" s="155">
        <v>986.81399999999996</v>
      </c>
      <c r="J45" s="63"/>
      <c r="K45" s="32">
        <f t="shared" si="15"/>
        <v>2.8584726098656086</v>
      </c>
      <c r="M45" s="31">
        <v>1143.3689999999999</v>
      </c>
      <c r="N45" s="32">
        <f t="shared" si="12"/>
        <v>3.1007744579945267</v>
      </c>
      <c r="O45" s="164"/>
      <c r="P45" s="155">
        <v>1055.299</v>
      </c>
      <c r="Q45" s="32">
        <f t="shared" si="6"/>
        <v>2.4048634392683557</v>
      </c>
    </row>
    <row r="46" spans="1:17" ht="11.1" customHeight="1" x14ac:dyDescent="0.25">
      <c r="A46" s="148" t="s">
        <v>43</v>
      </c>
      <c r="B46" s="44">
        <f>B47+B48+B49+B50</f>
        <v>1666.5840000000001</v>
      </c>
      <c r="C46" s="38">
        <f>B46/$B$7*100</f>
        <v>9.3995053734937724</v>
      </c>
      <c r="D46" s="59"/>
      <c r="E46" s="44">
        <f>E47+E48+E49+E50</f>
        <v>2336.4930000000004</v>
      </c>
      <c r="F46" s="44"/>
      <c r="G46" s="25">
        <f t="shared" si="14"/>
        <v>10.065338523355923</v>
      </c>
      <c r="H46" s="59"/>
      <c r="I46" s="158">
        <f>I47+I48+I49+I50</f>
        <v>3583.902</v>
      </c>
      <c r="J46" s="241"/>
      <c r="K46" s="25">
        <f>I46/$I$7*100</f>
        <v>10.381374507701123</v>
      </c>
      <c r="M46" s="44">
        <f>M47+M48+M49+M50</f>
        <v>3561.9269999999997</v>
      </c>
      <c r="N46" s="25">
        <f t="shared" si="12"/>
        <v>9.6598143406381229</v>
      </c>
      <c r="O46" s="164"/>
      <c r="P46" s="158">
        <f>P47+P48+P49+P50</f>
        <v>3999.6680000000006</v>
      </c>
      <c r="Q46" s="25">
        <f t="shared" si="6"/>
        <v>9.1146256581419927</v>
      </c>
    </row>
    <row r="47" spans="1:17" ht="9.75" customHeight="1" x14ac:dyDescent="0.25">
      <c r="A47" s="30" t="s">
        <v>44</v>
      </c>
      <c r="B47" s="31">
        <v>687.50300000000004</v>
      </c>
      <c r="C47" s="32">
        <f>B47/$B$7*100</f>
        <v>3.8775052099342662</v>
      </c>
      <c r="D47" s="58"/>
      <c r="E47" s="31">
        <v>996.673</v>
      </c>
      <c r="F47" s="31"/>
      <c r="G47" s="32">
        <f>E47/$E$7*100</f>
        <v>4.2935506941765782</v>
      </c>
      <c r="H47" s="58"/>
      <c r="I47" s="155">
        <v>1604.242</v>
      </c>
      <c r="J47" s="63"/>
      <c r="K47" s="32">
        <f>I47/$I$7*100</f>
        <v>4.6469565861408775</v>
      </c>
      <c r="M47" s="31">
        <v>1442.13</v>
      </c>
      <c r="N47" s="32">
        <f t="shared" si="12"/>
        <v>3.9110032448908858</v>
      </c>
      <c r="O47" s="164"/>
      <c r="P47" s="155">
        <v>1787.8620000000001</v>
      </c>
      <c r="Q47" s="32">
        <f t="shared" si="6"/>
        <v>4.0742613782986634</v>
      </c>
    </row>
    <row r="48" spans="1:17" ht="9.75" customHeight="1" x14ac:dyDescent="0.25">
      <c r="A48" s="30" t="s">
        <v>45</v>
      </c>
      <c r="B48" s="31">
        <v>147.56200000000001</v>
      </c>
      <c r="C48" s="32">
        <f t="shared" ref="C48:C50" si="16">B48/$B$7*100</f>
        <v>0.83224716661355702</v>
      </c>
      <c r="D48" s="58"/>
      <c r="E48" s="31">
        <v>179.93700000000001</v>
      </c>
      <c r="F48" s="31"/>
      <c r="G48" s="32">
        <f t="shared" ref="G48:G50" si="17">E48/$E$7*100</f>
        <v>0.77514754714741041</v>
      </c>
      <c r="H48" s="58"/>
      <c r="I48" s="155">
        <v>328.52</v>
      </c>
      <c r="J48" s="63"/>
      <c r="K48" s="32">
        <f t="shared" ref="K48:K50" si="18">I48/$I$7*100</f>
        <v>0.95161339603314288</v>
      </c>
      <c r="M48" s="31">
        <v>403.27</v>
      </c>
      <c r="N48" s="32">
        <f t="shared" si="12"/>
        <v>1.0936533312302963</v>
      </c>
      <c r="O48" s="164"/>
      <c r="P48" s="155">
        <v>361.40300000000002</v>
      </c>
      <c r="Q48" s="32">
        <f t="shared" si="6"/>
        <v>0.82358162145695357</v>
      </c>
    </row>
    <row r="49" spans="1:17" ht="9.75" customHeight="1" x14ac:dyDescent="0.25">
      <c r="A49" s="30" t="s">
        <v>46</v>
      </c>
      <c r="B49" s="31">
        <v>232.35599999999999</v>
      </c>
      <c r="C49" s="32">
        <f t="shared" si="16"/>
        <v>1.3104838823386753</v>
      </c>
      <c r="D49" s="58"/>
      <c r="E49" s="31">
        <v>449.98899999999998</v>
      </c>
      <c r="F49" s="31"/>
      <c r="G49" s="32">
        <f t="shared" si="17"/>
        <v>1.9384999727311008</v>
      </c>
      <c r="H49" s="58"/>
      <c r="I49" s="155">
        <v>589.95600000000002</v>
      </c>
      <c r="J49" s="63"/>
      <c r="K49" s="32">
        <f t="shared" si="18"/>
        <v>1.7089067109160139</v>
      </c>
      <c r="M49" s="31">
        <v>571.83199999999999</v>
      </c>
      <c r="N49" s="32">
        <f t="shared" si="12"/>
        <v>1.5507872435442331</v>
      </c>
      <c r="O49" s="164"/>
      <c r="P49" s="155">
        <v>382.39800000000002</v>
      </c>
      <c r="Q49" s="32">
        <f t="shared" si="6"/>
        <v>0.87142598396221427</v>
      </c>
    </row>
    <row r="50" spans="1:17" ht="9.75" customHeight="1" x14ac:dyDescent="0.25">
      <c r="A50" s="30" t="s">
        <v>47</v>
      </c>
      <c r="B50" s="31">
        <v>599.16300000000001</v>
      </c>
      <c r="C50" s="32">
        <f t="shared" si="16"/>
        <v>3.3792691146072742</v>
      </c>
      <c r="D50" s="58"/>
      <c r="E50" s="31">
        <v>709.89400000000001</v>
      </c>
      <c r="F50" s="31"/>
      <c r="G50" s="32">
        <f t="shared" si="17"/>
        <v>3.0581403093008315</v>
      </c>
      <c r="H50" s="58"/>
      <c r="I50" s="155">
        <v>1061.184</v>
      </c>
      <c r="J50" s="63"/>
      <c r="K50" s="32">
        <f t="shared" si="18"/>
        <v>3.073897814611088</v>
      </c>
      <c r="M50" s="31">
        <v>1144.6949999999999</v>
      </c>
      <c r="N50" s="32">
        <f t="shared" si="12"/>
        <v>3.1043705209727084</v>
      </c>
      <c r="O50" s="164"/>
      <c r="P50" s="155">
        <v>1468.0050000000001</v>
      </c>
      <c r="Q50" s="32">
        <f t="shared" si="6"/>
        <v>3.3453566744241616</v>
      </c>
    </row>
    <row r="51" spans="1:17" ht="0.75" customHeight="1" x14ac:dyDescent="0.25">
      <c r="A51" s="30"/>
      <c r="B51" s="31"/>
      <c r="C51" s="32"/>
      <c r="D51" s="58"/>
      <c r="E51" s="31"/>
      <c r="F51" s="31"/>
      <c r="G51" s="32"/>
      <c r="H51" s="58"/>
      <c r="I51" s="157"/>
      <c r="J51" s="63"/>
      <c r="K51" s="32"/>
      <c r="M51" s="31">
        <v>0</v>
      </c>
      <c r="N51" s="32"/>
      <c r="O51" s="164"/>
      <c r="P51" s="157"/>
      <c r="Q51" s="32"/>
    </row>
    <row r="52" spans="1:17" ht="11.1" customHeight="1" x14ac:dyDescent="0.25">
      <c r="A52" s="148" t="s">
        <v>48</v>
      </c>
      <c r="B52" s="44">
        <f>B53+B54+B55</f>
        <v>1523.154</v>
      </c>
      <c r="C52" s="38">
        <f>B52/$B$7*100</f>
        <v>8.5905626165008986</v>
      </c>
      <c r="D52" s="59"/>
      <c r="E52" s="44">
        <f>E53+E54+E55</f>
        <v>1969.5140000000001</v>
      </c>
      <c r="F52" s="44"/>
      <c r="G52" s="38">
        <f>E52/E7*100</f>
        <v>8.4844359201969848</v>
      </c>
      <c r="H52" s="59"/>
      <c r="I52" s="158">
        <f>I53+I54+I55</f>
        <v>3014.8470000000002</v>
      </c>
      <c r="J52" s="82"/>
      <c r="K52" s="38">
        <f>I52/I7*100</f>
        <v>8.7330110562228551</v>
      </c>
      <c r="M52" s="44">
        <f>M53+M54+M55</f>
        <v>3929.4890000000005</v>
      </c>
      <c r="N52" s="38">
        <f>M52/M7*100</f>
        <v>10.65662889598236</v>
      </c>
      <c r="O52" s="164"/>
      <c r="P52" s="158">
        <f>P53</f>
        <v>4626.8069999999998</v>
      </c>
      <c r="Q52" s="25">
        <f>P52/$P$7*100</f>
        <v>10.543778582990132</v>
      </c>
    </row>
    <row r="53" spans="1:17" ht="11.1" customHeight="1" x14ac:dyDescent="0.25">
      <c r="A53" s="30" t="s">
        <v>49</v>
      </c>
      <c r="B53" s="31">
        <v>1462.1980000000001</v>
      </c>
      <c r="C53" s="32">
        <f>B53/$B$7*100</f>
        <v>8.2467718147491205</v>
      </c>
      <c r="D53" s="58"/>
      <c r="E53" s="31">
        <v>1907.9860000000001</v>
      </c>
      <c r="F53" s="31"/>
      <c r="G53" s="32">
        <f>E53/$E$7*100</f>
        <v>8.2193804936816726</v>
      </c>
      <c r="H53" s="58"/>
      <c r="I53" s="155">
        <v>2952.4920000000002</v>
      </c>
      <c r="J53" s="63"/>
      <c r="K53" s="32">
        <f>I53/$I$7*100</f>
        <v>8.5523893183997508</v>
      </c>
      <c r="M53" s="45">
        <v>3867.0160000000001</v>
      </c>
      <c r="N53" s="32">
        <f>M53/$M$7*100</f>
        <v>10.487204429590239</v>
      </c>
      <c r="O53" s="164"/>
      <c r="P53" s="155">
        <v>4626.8069999999998</v>
      </c>
      <c r="Q53" s="32">
        <f>P53/$P$7*100</f>
        <v>10.543778582990132</v>
      </c>
    </row>
    <row r="54" spans="1:17" ht="11.1" customHeight="1" x14ac:dyDescent="0.25">
      <c r="A54" s="30" t="s">
        <v>50</v>
      </c>
      <c r="B54" s="31">
        <v>0.60899999999999999</v>
      </c>
      <c r="C54" s="32">
        <f t="shared" ref="C54:C55" si="19">B54/$B$7*100</f>
        <v>3.4347496270561262E-3</v>
      </c>
      <c r="D54" s="58"/>
      <c r="E54" s="31">
        <v>1.181</v>
      </c>
      <c r="F54" s="31"/>
      <c r="G54" s="32">
        <f t="shared" ref="G54:G55" si="20">E54/$E$7*100</f>
        <v>5.0876098477861233E-3</v>
      </c>
      <c r="H54" s="58"/>
      <c r="I54" s="155">
        <v>2.008</v>
      </c>
      <c r="J54" s="63"/>
      <c r="K54" s="32">
        <f t="shared" ref="K54:K55" si="21">I54/$I$7*100</f>
        <v>5.8165094948086898E-3</v>
      </c>
      <c r="M54" s="45">
        <v>2.1259999999999999</v>
      </c>
      <c r="N54" s="32">
        <f>M54/$M$7*100</f>
        <v>5.7656334024242077E-3</v>
      </c>
      <c r="O54" s="164"/>
      <c r="P54" s="155" t="s">
        <v>95</v>
      </c>
      <c r="Q54" s="115" t="s">
        <v>95</v>
      </c>
    </row>
    <row r="55" spans="1:17" ht="11.1" customHeight="1" x14ac:dyDescent="0.25">
      <c r="A55" s="30" t="s">
        <v>51</v>
      </c>
      <c r="B55" s="31">
        <v>60.347000000000001</v>
      </c>
      <c r="C55" s="32">
        <f t="shared" si="19"/>
        <v>0.34035605212472259</v>
      </c>
      <c r="D55" s="58"/>
      <c r="E55" s="31">
        <v>60.347000000000001</v>
      </c>
      <c r="F55" s="31"/>
      <c r="G55" s="32">
        <f t="shared" si="20"/>
        <v>0.25996781666752683</v>
      </c>
      <c r="H55" s="58"/>
      <c r="I55" s="155">
        <v>60.347000000000001</v>
      </c>
      <c r="J55" s="63"/>
      <c r="K55" s="32">
        <f t="shared" si="21"/>
        <v>0.17480522832829681</v>
      </c>
      <c r="M55" s="45">
        <v>60.347000000000001</v>
      </c>
      <c r="N55" s="32">
        <f>M55/$M$7*100</f>
        <v>0.16365883298969597</v>
      </c>
      <c r="O55" s="164"/>
      <c r="P55" s="155" t="s">
        <v>95</v>
      </c>
      <c r="Q55" s="115" t="s">
        <v>95</v>
      </c>
    </row>
    <row r="56" spans="1:17" ht="11.1" customHeight="1" x14ac:dyDescent="0.25">
      <c r="A56" s="24" t="s">
        <v>52</v>
      </c>
      <c r="B56" s="48">
        <f>B57+B58+B59+B60+B61+B62+B63+B64</f>
        <v>16703.746000000003</v>
      </c>
      <c r="C56" s="22">
        <f>SUM(C57:C64)</f>
        <v>99.999999999999972</v>
      </c>
      <c r="D56" s="22"/>
      <c r="E56" s="48">
        <f>E57+E58+E59+E60+E61+E62+E63+E64</f>
        <v>21275.350999999999</v>
      </c>
      <c r="F56" s="48"/>
      <c r="G56" s="22">
        <f>E56/E56*100</f>
        <v>100</v>
      </c>
      <c r="H56" s="22"/>
      <c r="I56" s="49">
        <f>SUM(I57:I64)</f>
        <v>37924.333999999995</v>
      </c>
      <c r="J56" s="19"/>
      <c r="K56" s="49">
        <f>SUM(K57:K64)</f>
        <v>100.00000000000003</v>
      </c>
      <c r="M56" s="218">
        <f>SUM(M57:M64)</f>
        <v>45106.648999999998</v>
      </c>
      <c r="N56" s="49">
        <v>100</v>
      </c>
      <c r="O56" s="164"/>
      <c r="P56" s="49">
        <f>SUM(P57:P64)</f>
        <v>47837.972999999998</v>
      </c>
      <c r="Q56" s="49">
        <v>100</v>
      </c>
    </row>
    <row r="57" spans="1:17" ht="9.75" customHeight="1" x14ac:dyDescent="0.25">
      <c r="A57" s="30" t="s">
        <v>53</v>
      </c>
      <c r="B57" s="45">
        <v>4173.3119999999999</v>
      </c>
      <c r="C57" s="32">
        <f>B57/$B$56*100</f>
        <v>24.984287955528053</v>
      </c>
      <c r="D57" s="58"/>
      <c r="E57" s="31">
        <v>5749.28</v>
      </c>
      <c r="F57" s="31"/>
      <c r="G57" s="32">
        <f>E57/$E$56*100</f>
        <v>27.023196938090472</v>
      </c>
      <c r="H57" s="58"/>
      <c r="I57" s="155">
        <v>9247.4269999999997</v>
      </c>
      <c r="J57" s="63"/>
      <c r="K57" s="32">
        <f>I57/$I$56*100</f>
        <v>24.383887664316006</v>
      </c>
      <c r="M57" s="31">
        <v>14609.294</v>
      </c>
      <c r="N57" s="32">
        <f t="shared" ref="N57:N64" si="22">M57/$M$56*100</f>
        <v>32.388338136135985</v>
      </c>
      <c r="O57" s="164"/>
      <c r="P57" s="155">
        <v>16373.449000000001</v>
      </c>
      <c r="Q57" s="32">
        <f t="shared" ref="Q57:Q63" si="23">P57/$P$56*100</f>
        <v>34.226887079851821</v>
      </c>
    </row>
    <row r="58" spans="1:17" ht="9.75" customHeight="1" x14ac:dyDescent="0.25">
      <c r="A58" s="30" t="s">
        <v>54</v>
      </c>
      <c r="B58" s="45">
        <v>1875.856</v>
      </c>
      <c r="C58" s="32">
        <f t="shared" ref="C58:C64" si="24">B58/$B$56*100</f>
        <v>11.230151607908786</v>
      </c>
      <c r="D58" s="58"/>
      <c r="E58" s="31">
        <v>2288.1030000000001</v>
      </c>
      <c r="F58" s="31"/>
      <c r="G58" s="32">
        <f t="shared" ref="G58:G64" si="25">E58/$E$56*100</f>
        <v>10.754713282991196</v>
      </c>
      <c r="H58" s="58"/>
      <c r="I58" s="155">
        <v>5239.6750000000002</v>
      </c>
      <c r="J58" s="63"/>
      <c r="K58" s="32">
        <f t="shared" ref="K58:K64" si="26">I58/$I$56*100</f>
        <v>13.816129243034304</v>
      </c>
      <c r="M58" s="31">
        <v>6789.76</v>
      </c>
      <c r="N58" s="32">
        <f t="shared" si="22"/>
        <v>15.05268103600425</v>
      </c>
      <c r="O58" s="164"/>
      <c r="P58" s="155">
        <v>7363.8819999999996</v>
      </c>
      <c r="Q58" s="32">
        <f t="shared" si="23"/>
        <v>15.393382156890301</v>
      </c>
    </row>
    <row r="59" spans="1:17" ht="9.75" customHeight="1" x14ac:dyDescent="0.25">
      <c r="A59" s="30" t="s">
        <v>55</v>
      </c>
      <c r="B59" s="45">
        <v>79.808000000000007</v>
      </c>
      <c r="C59" s="32">
        <f t="shared" si="24"/>
        <v>0.47778504294785129</v>
      </c>
      <c r="D59" s="58"/>
      <c r="E59" s="31">
        <v>94.959000000000003</v>
      </c>
      <c r="F59" s="31"/>
      <c r="G59" s="32">
        <f t="shared" si="25"/>
        <v>0.44633341184359315</v>
      </c>
      <c r="H59" s="58"/>
      <c r="I59" s="155">
        <v>159.28800000000001</v>
      </c>
      <c r="J59" s="63"/>
      <c r="K59" s="32">
        <f t="shared" si="26"/>
        <v>0.42001528622757106</v>
      </c>
      <c r="M59" s="31">
        <v>176.43899999999999</v>
      </c>
      <c r="N59" s="32">
        <f t="shared" si="22"/>
        <v>0.39115962704301088</v>
      </c>
      <c r="O59" s="164"/>
      <c r="P59" s="155">
        <v>179.23400000000001</v>
      </c>
      <c r="Q59" s="32">
        <f t="shared" si="23"/>
        <v>0.37466888490446704</v>
      </c>
    </row>
    <row r="60" spans="1:17" ht="9.75" customHeight="1" x14ac:dyDescent="0.25">
      <c r="A60" s="30" t="s">
        <v>56</v>
      </c>
      <c r="B60" s="45">
        <v>5088.3670000000002</v>
      </c>
      <c r="C60" s="32">
        <f t="shared" si="24"/>
        <v>30.462430403335873</v>
      </c>
      <c r="D60" s="58"/>
      <c r="E60" s="31">
        <v>5697.7259999999997</v>
      </c>
      <c r="F60" s="31"/>
      <c r="G60" s="32">
        <f t="shared" si="25"/>
        <v>26.7808789617619</v>
      </c>
      <c r="H60" s="58"/>
      <c r="I60" s="155">
        <v>11677.377</v>
      </c>
      <c r="J60" s="63"/>
      <c r="K60" s="32">
        <f t="shared" si="26"/>
        <v>30.791251337465813</v>
      </c>
      <c r="M60" s="31">
        <v>13777.543</v>
      </c>
      <c r="N60" s="32">
        <f t="shared" si="22"/>
        <v>30.544372737597953</v>
      </c>
      <c r="O60" s="164"/>
      <c r="P60" s="155">
        <v>13685.344999999999</v>
      </c>
      <c r="Q60" s="32">
        <f t="shared" si="23"/>
        <v>28.607702504451847</v>
      </c>
    </row>
    <row r="61" spans="1:17" ht="9.75" customHeight="1" x14ac:dyDescent="0.25">
      <c r="A61" s="30" t="s">
        <v>57</v>
      </c>
      <c r="B61" s="45">
        <v>4072.1370000000002</v>
      </c>
      <c r="C61" s="32">
        <f t="shared" si="24"/>
        <v>24.378585498127183</v>
      </c>
      <c r="D61" s="58"/>
      <c r="E61" s="31">
        <v>5445.5929999999998</v>
      </c>
      <c r="F61" s="31"/>
      <c r="G61" s="32">
        <f t="shared" si="25"/>
        <v>25.595784530182371</v>
      </c>
      <c r="H61" s="58"/>
      <c r="I61" s="155">
        <v>8177.8230000000003</v>
      </c>
      <c r="J61" s="63"/>
      <c r="K61" s="32">
        <f t="shared" si="26"/>
        <v>21.563524358792961</v>
      </c>
      <c r="M61" s="31">
        <v>6459.2640000000001</v>
      </c>
      <c r="N61" s="32">
        <f t="shared" si="22"/>
        <v>14.319981960974312</v>
      </c>
      <c r="O61" s="164"/>
      <c r="P61" s="155">
        <v>7044.5479999999998</v>
      </c>
      <c r="Q61" s="32">
        <f t="shared" si="23"/>
        <v>14.725849692669879</v>
      </c>
    </row>
    <row r="62" spans="1:17" ht="9.75" customHeight="1" x14ac:dyDescent="0.25">
      <c r="A62" s="30" t="s">
        <v>58</v>
      </c>
      <c r="B62" s="45">
        <v>1375.0820000000001</v>
      </c>
      <c r="C62" s="32">
        <f t="shared" si="24"/>
        <v>8.2321773810497358</v>
      </c>
      <c r="D62" s="58"/>
      <c r="E62" s="31">
        <v>1949.422</v>
      </c>
      <c r="F62" s="31"/>
      <c r="G62" s="32">
        <f t="shared" si="25"/>
        <v>9.1628194524264259</v>
      </c>
      <c r="H62" s="58"/>
      <c r="I62" s="155">
        <v>3379.866</v>
      </c>
      <c r="J62" s="63"/>
      <c r="K62" s="32">
        <f t="shared" si="26"/>
        <v>8.9121301378687381</v>
      </c>
      <c r="M62" s="31">
        <v>3228.0410000000002</v>
      </c>
      <c r="N62" s="32">
        <f t="shared" si="22"/>
        <v>7.1564637843081629</v>
      </c>
      <c r="O62" s="164"/>
      <c r="P62" s="155">
        <v>3140.47</v>
      </c>
      <c r="Q62" s="32">
        <f t="shared" si="23"/>
        <v>6.5648057454273818</v>
      </c>
    </row>
    <row r="63" spans="1:17" ht="9.75" customHeight="1" x14ac:dyDescent="0.25">
      <c r="A63" s="30" t="s">
        <v>59</v>
      </c>
      <c r="B63" s="45">
        <v>27.588000000000001</v>
      </c>
      <c r="C63" s="32">
        <f t="shared" si="24"/>
        <v>0.1651605573983225</v>
      </c>
      <c r="D63" s="58"/>
      <c r="E63" s="31">
        <v>44.694000000000003</v>
      </c>
      <c r="F63" s="31"/>
      <c r="G63" s="32">
        <f t="shared" si="25"/>
        <v>0.21007408996448523</v>
      </c>
      <c r="H63" s="58"/>
      <c r="I63" s="155">
        <v>38.539000000000001</v>
      </c>
      <c r="J63" s="63"/>
      <c r="K63" s="32">
        <f t="shared" si="26"/>
        <v>0.10162076939834991</v>
      </c>
      <c r="M63" s="31">
        <v>61.969000000000001</v>
      </c>
      <c r="N63" s="32">
        <f t="shared" si="22"/>
        <v>0.13738329353617026</v>
      </c>
      <c r="O63" s="164"/>
      <c r="P63" s="155">
        <v>51.045000000000002</v>
      </c>
      <c r="Q63" s="32">
        <f t="shared" si="23"/>
        <v>0.10670393580430342</v>
      </c>
    </row>
    <row r="64" spans="1:17" ht="9.75" customHeight="1" x14ac:dyDescent="0.25">
      <c r="A64" s="30" t="s">
        <v>60</v>
      </c>
      <c r="B64" s="45">
        <v>11.596</v>
      </c>
      <c r="C64" s="32">
        <f t="shared" si="24"/>
        <v>6.9421553704181072E-2</v>
      </c>
      <c r="D64" s="58"/>
      <c r="E64" s="31">
        <v>5.5739999999999998</v>
      </c>
      <c r="F64" s="31"/>
      <c r="G64" s="32">
        <f t="shared" si="25"/>
        <v>2.6199332739563267E-2</v>
      </c>
      <c r="H64" s="58"/>
      <c r="I64" s="155">
        <v>4.3390000000000004</v>
      </c>
      <c r="J64" s="63"/>
      <c r="K64" s="32">
        <f t="shared" si="26"/>
        <v>1.1441202896272354E-2</v>
      </c>
      <c r="M64" s="31">
        <v>4.3390000000000004</v>
      </c>
      <c r="N64" s="32">
        <f t="shared" si="22"/>
        <v>9.6194244001588346E-3</v>
      </c>
      <c r="O64" s="164"/>
      <c r="P64" s="115" t="s">
        <v>95</v>
      </c>
      <c r="Q64" s="115" t="s">
        <v>95</v>
      </c>
    </row>
    <row r="65" spans="1:17" ht="24" customHeight="1" x14ac:dyDescent="0.25">
      <c r="A65" s="37" t="s">
        <v>61</v>
      </c>
      <c r="B65" s="163">
        <f>B66+B67</f>
        <v>961.84699999999998</v>
      </c>
      <c r="C65" s="179">
        <f>C66+C67</f>
        <v>100</v>
      </c>
      <c r="D65" s="179"/>
      <c r="E65" s="163">
        <f>E66+E67</f>
        <v>975.798</v>
      </c>
      <c r="F65" s="163"/>
      <c r="G65" s="179">
        <f>G66+G67</f>
        <v>100</v>
      </c>
      <c r="H65" s="179"/>
      <c r="I65" s="162">
        <f>I66+I67</f>
        <v>1460.4159999999999</v>
      </c>
      <c r="J65" s="242"/>
      <c r="K65" s="162">
        <f>K66+K67</f>
        <v>99.999999999999986</v>
      </c>
      <c r="L65" s="166"/>
      <c r="M65" s="219">
        <f>M66+M67</f>
        <v>1223.3899999999999</v>
      </c>
      <c r="N65" s="162">
        <f>N66+N67</f>
        <v>100.00000000000001</v>
      </c>
      <c r="O65" s="180"/>
      <c r="P65" s="162">
        <f>P66+P67</f>
        <v>1640.5120000000002</v>
      </c>
      <c r="Q65" s="162">
        <f>Q66+Q67</f>
        <v>100</v>
      </c>
    </row>
    <row r="66" spans="1:17" ht="11.1" customHeight="1" x14ac:dyDescent="0.25">
      <c r="A66" s="20" t="s">
        <v>80</v>
      </c>
      <c r="B66" s="45">
        <v>287.608</v>
      </c>
      <c r="C66" s="32">
        <f>B66/$B$65*100</f>
        <v>29.901637162667242</v>
      </c>
      <c r="D66" s="58"/>
      <c r="E66" s="31">
        <v>282.08100000000002</v>
      </c>
      <c r="F66" s="31"/>
      <c r="G66" s="32">
        <f>E66/$E$65*100</f>
        <v>28.907724754508617</v>
      </c>
      <c r="H66" s="58"/>
      <c r="I66" s="155">
        <v>321.00799999999998</v>
      </c>
      <c r="J66" s="63"/>
      <c r="K66" s="32">
        <f>I66/$I$65*100</f>
        <v>21.980586353477367</v>
      </c>
      <c r="M66" s="45">
        <v>315.23</v>
      </c>
      <c r="N66" s="32">
        <f>M66/$M$65*100</f>
        <v>25.766926327663302</v>
      </c>
      <c r="O66" s="164"/>
      <c r="P66" s="155">
        <v>308.29500000000002</v>
      </c>
      <c r="Q66" s="32">
        <f>P66/$P$65*100</f>
        <v>18.792608649007139</v>
      </c>
    </row>
    <row r="67" spans="1:17" ht="11.1" customHeight="1" x14ac:dyDescent="0.25">
      <c r="A67" s="20" t="s">
        <v>97</v>
      </c>
      <c r="B67" s="45">
        <v>674.23900000000003</v>
      </c>
      <c r="C67" s="32">
        <f>B67/$B$65*100</f>
        <v>70.098362837332758</v>
      </c>
      <c r="D67" s="58"/>
      <c r="E67" s="31">
        <v>693.71699999999998</v>
      </c>
      <c r="F67" s="31"/>
      <c r="G67" s="32">
        <f>E67/$E$65*100</f>
        <v>71.092275245491379</v>
      </c>
      <c r="H67" s="58"/>
      <c r="I67" s="155">
        <v>1139.4079999999999</v>
      </c>
      <c r="J67" s="63"/>
      <c r="K67" s="32">
        <f>I67/$I$65*100</f>
        <v>78.019413646522622</v>
      </c>
      <c r="M67" s="45">
        <v>908.16</v>
      </c>
      <c r="N67" s="32">
        <f>M67/$M$65*100</f>
        <v>74.233073672336715</v>
      </c>
      <c r="O67" s="164"/>
      <c r="P67" s="155">
        <v>1332.2170000000001</v>
      </c>
      <c r="Q67" s="32">
        <f>P67/$P$65*100</f>
        <v>81.207391350992864</v>
      </c>
    </row>
    <row r="68" spans="1:17" ht="4.5" customHeight="1" x14ac:dyDescent="0.25">
      <c r="A68" s="192"/>
      <c r="B68" s="193"/>
      <c r="C68" s="194"/>
      <c r="D68" s="193"/>
      <c r="E68" s="195"/>
      <c r="F68" s="195"/>
      <c r="G68" s="196"/>
      <c r="H68" s="195"/>
      <c r="I68" s="220"/>
      <c r="J68" s="63"/>
      <c r="K68" s="193"/>
      <c r="L68" s="193"/>
      <c r="M68" s="193"/>
      <c r="N68" s="193"/>
      <c r="O68" s="193"/>
      <c r="P68" s="193"/>
      <c r="Q68" s="193"/>
    </row>
    <row r="69" spans="1:17" s="4" customFormat="1" ht="10.5" customHeight="1" x14ac:dyDescent="0.25">
      <c r="A69" s="168" t="s">
        <v>98</v>
      </c>
      <c r="B69" s="81"/>
      <c r="C69" s="200"/>
      <c r="D69" s="81"/>
      <c r="E69" s="63"/>
      <c r="F69" s="63"/>
      <c r="G69" s="34"/>
      <c r="H69" s="63"/>
      <c r="I69" s="63"/>
      <c r="J69" s="63"/>
      <c r="K69" s="81"/>
      <c r="L69" s="81"/>
      <c r="M69" s="81"/>
      <c r="N69" s="81"/>
      <c r="O69" s="81"/>
      <c r="P69" s="81"/>
      <c r="Q69" s="81"/>
    </row>
    <row r="70" spans="1:17" s="4" customFormat="1" ht="12" customHeight="1" x14ac:dyDescent="0.25">
      <c r="A70" s="168" t="s">
        <v>99</v>
      </c>
      <c r="B70" s="81"/>
      <c r="C70" s="200"/>
      <c r="D70" s="81"/>
      <c r="E70" s="63"/>
      <c r="F70" s="63"/>
      <c r="G70" s="34"/>
      <c r="H70" s="63"/>
      <c r="I70" s="63"/>
      <c r="J70" s="63"/>
      <c r="K70" s="81"/>
      <c r="L70" s="81"/>
      <c r="M70" s="81"/>
      <c r="N70" s="81"/>
      <c r="O70" s="81"/>
      <c r="P70" s="81"/>
      <c r="Q70" s="81"/>
    </row>
    <row r="71" spans="1:17" s="4" customFormat="1" ht="12" customHeight="1" x14ac:dyDescent="0.25">
      <c r="A71" s="247" t="s">
        <v>100</v>
      </c>
      <c r="B71" s="81"/>
      <c r="C71" s="200"/>
      <c r="D71" s="81"/>
      <c r="E71" s="63"/>
      <c r="F71" s="63"/>
      <c r="G71" s="34"/>
      <c r="H71" s="63"/>
      <c r="I71" s="63"/>
      <c r="J71" s="63"/>
      <c r="K71" s="81"/>
      <c r="L71" s="81"/>
      <c r="M71" s="81"/>
      <c r="N71" s="81"/>
      <c r="O71" s="81"/>
      <c r="P71" s="81"/>
      <c r="Q71" s="81"/>
    </row>
    <row r="72" spans="1:17" s="4" customFormat="1" ht="12.75" customHeight="1" x14ac:dyDescent="0.25">
      <c r="A72" s="247" t="s">
        <v>101</v>
      </c>
      <c r="B72" s="81"/>
      <c r="C72" s="200"/>
      <c r="D72" s="81"/>
      <c r="E72" s="63"/>
      <c r="F72" s="63"/>
      <c r="G72" s="34"/>
      <c r="H72" s="63"/>
      <c r="I72" s="63"/>
      <c r="J72" s="63"/>
      <c r="K72" s="81"/>
      <c r="L72" s="81"/>
      <c r="M72" s="81"/>
      <c r="N72" s="81"/>
      <c r="O72" s="81"/>
      <c r="P72" s="81"/>
      <c r="Q72" s="81"/>
    </row>
    <row r="73" spans="1:17" s="4" customFormat="1" ht="14.25" customHeight="1" x14ac:dyDescent="0.25">
      <c r="A73" s="20" t="s">
        <v>88</v>
      </c>
      <c r="B73" s="81"/>
      <c r="C73" s="200"/>
      <c r="D73" s="81"/>
      <c r="E73" s="63"/>
      <c r="F73" s="63"/>
      <c r="G73" s="34"/>
      <c r="H73" s="63"/>
      <c r="I73" s="63"/>
      <c r="J73" s="63"/>
      <c r="K73" s="81"/>
      <c r="L73" s="81"/>
      <c r="M73" s="81"/>
      <c r="N73" s="81"/>
      <c r="O73" s="81"/>
      <c r="P73" s="81"/>
      <c r="Q73" s="81"/>
    </row>
    <row r="74" spans="1:17" s="4" customFormat="1" ht="12" customHeight="1" x14ac:dyDescent="0.25">
      <c r="A74" s="175" t="s">
        <v>102</v>
      </c>
      <c r="B74" s="81"/>
      <c r="C74" s="200"/>
      <c r="D74" s="81"/>
      <c r="E74" s="63"/>
      <c r="F74" s="63"/>
      <c r="G74" s="34"/>
      <c r="H74" s="63"/>
      <c r="I74" s="63"/>
      <c r="J74" s="63"/>
      <c r="K74" s="81"/>
      <c r="L74" s="81"/>
      <c r="M74" s="81"/>
      <c r="N74" s="81"/>
      <c r="O74" s="81"/>
      <c r="P74" s="81"/>
      <c r="Q74" s="81"/>
    </row>
    <row r="75" spans="1:17" ht="12" customHeight="1" x14ac:dyDescent="0.25">
      <c r="A75" s="4"/>
      <c r="B75" s="4"/>
      <c r="C75" s="4"/>
      <c r="D75" s="4"/>
      <c r="E75" s="4"/>
      <c r="F75" s="4"/>
      <c r="G75" s="4"/>
      <c r="H75" s="4"/>
      <c r="I75" s="201"/>
      <c r="J75" s="201"/>
      <c r="K75" s="4"/>
      <c r="L75" s="4"/>
      <c r="N75" s="4"/>
      <c r="O75" s="4"/>
      <c r="P75" s="4"/>
      <c r="Q75" s="201" t="s">
        <v>103</v>
      </c>
    </row>
    <row r="76" spans="1:17" ht="12" customHeight="1" x14ac:dyDescent="0.25">
      <c r="A76" s="395" t="str">
        <f t="shared" ref="A76" si="27">$A$2</f>
        <v>Cuadro 1.5</v>
      </c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</row>
    <row r="77" spans="1:17" ht="30.75" customHeight="1" x14ac:dyDescent="0.25">
      <c r="A77" s="394" t="s">
        <v>92</v>
      </c>
      <c r="B77" s="394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</row>
    <row r="78" spans="1:17" ht="2.25" customHeight="1" x14ac:dyDescent="0.2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</row>
    <row r="79" spans="1:17" ht="15.75" thickBot="1" x14ac:dyDescent="0.3">
      <c r="A79" s="397" t="s">
        <v>3</v>
      </c>
      <c r="B79" s="396">
        <v>2007</v>
      </c>
      <c r="C79" s="396"/>
      <c r="D79" s="184"/>
      <c r="E79" s="396">
        <v>2008</v>
      </c>
      <c r="F79" s="396"/>
      <c r="G79" s="396"/>
      <c r="H79" s="377"/>
      <c r="I79" s="396">
        <v>2009</v>
      </c>
      <c r="J79" s="396"/>
      <c r="K79" s="396"/>
      <c r="L79" s="184"/>
      <c r="M79" s="396">
        <v>2010</v>
      </c>
      <c r="N79" s="396"/>
      <c r="O79" s="184"/>
      <c r="P79" s="396">
        <v>2011</v>
      </c>
      <c r="Q79" s="396"/>
    </row>
    <row r="80" spans="1:17" ht="33" customHeight="1" x14ac:dyDescent="0.25">
      <c r="A80" s="397"/>
      <c r="B80" s="186" t="s">
        <v>93</v>
      </c>
      <c r="C80" s="185" t="s">
        <v>104</v>
      </c>
      <c r="D80" s="184"/>
      <c r="E80" s="186" t="s">
        <v>93</v>
      </c>
      <c r="F80" s="185"/>
      <c r="G80" s="185" t="s">
        <v>105</v>
      </c>
      <c r="H80" s="185"/>
      <c r="I80" s="186" t="s">
        <v>93</v>
      </c>
      <c r="J80" s="214"/>
      <c r="K80" s="185" t="s">
        <v>106</v>
      </c>
      <c r="L80" s="184"/>
      <c r="M80" s="224" t="s">
        <v>107</v>
      </c>
      <c r="N80" s="185" t="s">
        <v>105</v>
      </c>
      <c r="O80" s="184"/>
      <c r="P80" s="185" t="s">
        <v>108</v>
      </c>
      <c r="Q80" s="185" t="s">
        <v>105</v>
      </c>
    </row>
    <row r="81" spans="1:22" x14ac:dyDescent="0.25">
      <c r="A81" s="13" t="s">
        <v>6</v>
      </c>
      <c r="B81" s="96">
        <f>B82+B119+B126</f>
        <v>137549.702389404</v>
      </c>
      <c r="C81" s="16"/>
      <c r="D81" s="16"/>
      <c r="E81" s="96">
        <f>E119+E126+E82</f>
        <v>158795.76286703808</v>
      </c>
      <c r="F81" s="96">
        <f>F119+F126+F82</f>
        <v>0</v>
      </c>
      <c r="G81" s="96"/>
      <c r="H81" s="96">
        <f>H119+H126+H82</f>
        <v>0</v>
      </c>
      <c r="I81" s="96">
        <f>I119+I126+I82</f>
        <v>161753.47436178115</v>
      </c>
      <c r="J81" s="136">
        <f>J119+J126+J82</f>
        <v>0</v>
      </c>
      <c r="K81" s="96"/>
      <c r="L81" s="96">
        <f>L119+L126+L82</f>
        <v>0</v>
      </c>
      <c r="M81" s="96">
        <f>M119+M126+M82</f>
        <v>178844.60856614582</v>
      </c>
      <c r="N81" s="96"/>
      <c r="O81" s="96">
        <f>O119+O126+O82</f>
        <v>0</v>
      </c>
      <c r="P81" s="96">
        <f>P119+P126+P82</f>
        <v>175159.60854255623</v>
      </c>
      <c r="Q81" s="13"/>
    </row>
    <row r="82" spans="1:22" ht="11.1" customHeight="1" x14ac:dyDescent="0.25">
      <c r="A82" s="18" t="s">
        <v>7</v>
      </c>
      <c r="B82" s="136">
        <f t="shared" ref="B82:P82" si="28">B83+B88+B93+B95+B99+B100+B111+B115</f>
        <v>73831.650321625668</v>
      </c>
      <c r="C82" s="136">
        <f>C83+C88+C93+C95+C99+C100+C111+C115</f>
        <v>99.999999999999986</v>
      </c>
      <c r="D82" s="136">
        <f t="shared" si="28"/>
        <v>0</v>
      </c>
      <c r="E82" s="136">
        <f t="shared" si="28"/>
        <v>88963.834666490089</v>
      </c>
      <c r="F82" s="136">
        <f t="shared" si="28"/>
        <v>0</v>
      </c>
      <c r="G82" s="136">
        <f>G83+G88+G93+G95+G99+G100+G111+G115</f>
        <v>100</v>
      </c>
      <c r="H82" s="136">
        <f t="shared" si="28"/>
        <v>0</v>
      </c>
      <c r="I82" s="136">
        <f t="shared" si="28"/>
        <v>92855.186981548744</v>
      </c>
      <c r="J82" s="136">
        <f t="shared" si="28"/>
        <v>0</v>
      </c>
      <c r="K82" s="136">
        <f>K83+K88+K93+K95+K99+K100+K111+K115</f>
        <v>99.999999999999986</v>
      </c>
      <c r="L82" s="136">
        <f t="shared" si="28"/>
        <v>0</v>
      </c>
      <c r="M82" s="136">
        <f t="shared" si="28"/>
        <v>106695.60510279228</v>
      </c>
      <c r="N82" s="136">
        <f t="shared" si="28"/>
        <v>99.958351703298504</v>
      </c>
      <c r="O82" s="136">
        <f t="shared" si="28"/>
        <v>0</v>
      </c>
      <c r="P82" s="136">
        <f t="shared" si="28"/>
        <v>100735.41495250586</v>
      </c>
      <c r="Q82" s="136">
        <f>Q83+Q88+Q93+Q95+Q99+Q100+Q111+Q115</f>
        <v>100</v>
      </c>
    </row>
    <row r="83" spans="1:22" ht="11.1" customHeight="1" x14ac:dyDescent="0.25">
      <c r="A83" s="148" t="s">
        <v>8</v>
      </c>
      <c r="B83" s="150">
        <f>B84+B85+B86</f>
        <v>12827.682503643837</v>
      </c>
      <c r="C83" s="143">
        <f>B83/$B$82*100</f>
        <v>17.37423238917706</v>
      </c>
      <c r="D83" s="4"/>
      <c r="E83" s="150">
        <f>E84+E85+E86</f>
        <v>17697.802544266735</v>
      </c>
      <c r="F83" s="150"/>
      <c r="G83" s="25">
        <f>E83/$E$82*100</f>
        <v>19.893255063265553</v>
      </c>
      <c r="H83" s="26"/>
      <c r="I83" s="150">
        <f>I84+I85+I86</f>
        <v>19758.442618406618</v>
      </c>
      <c r="J83" s="243"/>
      <c r="K83" s="127">
        <f>K84+K85++K86</f>
        <v>21.27877102044156</v>
      </c>
      <c r="M83" s="225">
        <f>SUM(L84:M86)</f>
        <v>21573.226173920903</v>
      </c>
      <c r="N83" s="127">
        <f>N84+N85</f>
        <v>20.177765758016974</v>
      </c>
      <c r="P83" s="161">
        <f>P84+P85+P86</f>
        <v>20498.764961575129</v>
      </c>
      <c r="Q83" s="127">
        <f>Q84+Q85+Q86</f>
        <v>20.349114530614447</v>
      </c>
    </row>
    <row r="84" spans="1:22" ht="12" customHeight="1" x14ac:dyDescent="0.25">
      <c r="A84" s="30" t="s">
        <v>9</v>
      </c>
      <c r="B84" s="151">
        <v>12444.396754309144</v>
      </c>
      <c r="C84" s="137">
        <f>B84/$B$82*100</f>
        <v>16.855097644572243</v>
      </c>
      <c r="D84" s="4"/>
      <c r="E84" s="155">
        <v>17156.274683351323</v>
      </c>
      <c r="F84" s="155"/>
      <c r="G84" s="32">
        <f>E84/$E$82*100</f>
        <v>19.28454944379051</v>
      </c>
      <c r="H84" s="58"/>
      <c r="I84" s="155">
        <v>19194.834488233642</v>
      </c>
      <c r="J84" s="156"/>
      <c r="K84" s="32">
        <f>I84/$I$82*100</f>
        <v>20.671795633826946</v>
      </c>
      <c r="M84" s="157">
        <v>20915.721058135183</v>
      </c>
      <c r="N84" s="32">
        <f>M84/$M$82*100</f>
        <v>19.603170194296794</v>
      </c>
      <c r="P84" s="155">
        <v>19780.924333934996</v>
      </c>
      <c r="Q84" s="32">
        <f>P84/$P$82*100</f>
        <v>19.636514470368926</v>
      </c>
    </row>
    <row r="85" spans="1:22" ht="12" customHeight="1" x14ac:dyDescent="0.25">
      <c r="A85" s="30" t="s">
        <v>10</v>
      </c>
      <c r="B85" s="151">
        <v>357.99521682902548</v>
      </c>
      <c r="C85" s="137">
        <f t="shared" ref="C85:C86" si="29">B85/$B$82*100</f>
        <v>0.48488042088931449</v>
      </c>
      <c r="D85" s="4"/>
      <c r="E85" s="155">
        <v>527.3104033018476</v>
      </c>
      <c r="F85" s="155"/>
      <c r="G85" s="32">
        <f>E85/$E$82*100</f>
        <v>0.59272445401959395</v>
      </c>
      <c r="H85" s="58"/>
      <c r="I85" s="155">
        <v>536.51106390796508</v>
      </c>
      <c r="J85" s="156"/>
      <c r="K85" s="32">
        <f>I85/$I$82*100</f>
        <v>0.57779331596691008</v>
      </c>
      <c r="M85" s="157">
        <v>613.0682136050458</v>
      </c>
      <c r="N85" s="32">
        <f>M85/$M$82*100</f>
        <v>0.57459556372017939</v>
      </c>
      <c r="P85" s="155">
        <v>647.00220189466052</v>
      </c>
      <c r="Q85" s="32">
        <f>P85/$P$82*100</f>
        <v>0.64227878765348345</v>
      </c>
      <c r="R85" s="253"/>
      <c r="S85" s="253"/>
      <c r="T85" s="253"/>
      <c r="U85" s="253"/>
      <c r="V85" s="253"/>
    </row>
    <row r="86" spans="1:22" ht="12" customHeight="1" x14ac:dyDescent="0.25">
      <c r="A86" s="20" t="s">
        <v>65</v>
      </c>
      <c r="B86" s="238">
        <v>25.290532505667187</v>
      </c>
      <c r="C86" s="137">
        <f t="shared" si="29"/>
        <v>3.4254323715502077E-2</v>
      </c>
      <c r="D86" s="4"/>
      <c r="E86" s="155">
        <v>14.217457613567452</v>
      </c>
      <c r="F86" s="156"/>
      <c r="G86" s="32">
        <f>E86/$E$82*100</f>
        <v>1.5981165455453021E-2</v>
      </c>
      <c r="H86" s="99"/>
      <c r="I86" s="155">
        <v>27.097066265012444</v>
      </c>
      <c r="J86" s="156"/>
      <c r="K86" s="32">
        <f>I86/$I$82*100</f>
        <v>2.9182070647703187E-2</v>
      </c>
      <c r="M86" s="39">
        <v>44.436902180675169</v>
      </c>
      <c r="N86" s="32">
        <f>M86/$M$82*100</f>
        <v>4.1648296701503246E-2</v>
      </c>
      <c r="P86" s="32">
        <v>70.838425745469493</v>
      </c>
      <c r="Q86" s="32">
        <f>P86/$P$82*100</f>
        <v>7.0321272592035258E-2</v>
      </c>
    </row>
    <row r="87" spans="1:22" ht="0.75" customHeight="1" x14ac:dyDescent="0.25">
      <c r="A87" s="20"/>
      <c r="B87" s="139"/>
      <c r="C87" s="139"/>
      <c r="D87" s="4"/>
      <c r="E87" s="156"/>
      <c r="F87" s="156"/>
      <c r="G87" s="32"/>
      <c r="H87" s="99"/>
      <c r="I87" s="156"/>
      <c r="J87" s="156"/>
      <c r="K87" s="32"/>
      <c r="M87" s="63"/>
      <c r="N87" s="32"/>
      <c r="P87" s="160"/>
      <c r="Q87" s="58"/>
    </row>
    <row r="88" spans="1:22" ht="24.75" customHeight="1" x14ac:dyDescent="0.25">
      <c r="A88" s="149" t="s">
        <v>11</v>
      </c>
      <c r="B88" s="154">
        <f>B89+B90+B91+B92</f>
        <v>13422.376927147045</v>
      </c>
      <c r="C88" s="142">
        <f>B88/$B$82*100</f>
        <v>18.179705950871263</v>
      </c>
      <c r="D88" s="4"/>
      <c r="E88" s="154">
        <f>E89+E90+E91+E92</f>
        <v>14889.740145898601</v>
      </c>
      <c r="F88" s="154"/>
      <c r="G88" s="38">
        <f t="shared" ref="G88:G98" si="30">E88/$E$82*100</f>
        <v>16.736846159698086</v>
      </c>
      <c r="H88" s="21"/>
      <c r="I88" s="150">
        <f>I89+I90+I91+I92</f>
        <v>15522.108941416614</v>
      </c>
      <c r="J88" s="243"/>
      <c r="K88" s="38">
        <f t="shared" ref="K88:K98" si="31">I88/$I$82*100</f>
        <v>16.716469425128626</v>
      </c>
      <c r="M88" s="225">
        <f>SUM(L89:M92)</f>
        <v>16702.94556233874</v>
      </c>
      <c r="N88" s="127">
        <f>M88/$M$82*100</f>
        <v>15.654764360956433</v>
      </c>
      <c r="P88" s="150">
        <f>SUM(O89:P92)</f>
        <v>18940.303003469289</v>
      </c>
      <c r="Q88" s="38">
        <f>SUM(Q89:Q92)</f>
        <v>18.802030063011255</v>
      </c>
    </row>
    <row r="89" spans="1:22" ht="12" customHeight="1" x14ac:dyDescent="0.25">
      <c r="A89" s="30" t="s">
        <v>12</v>
      </c>
      <c r="B89" s="151">
        <v>4842.9070000000002</v>
      </c>
      <c r="C89" s="137">
        <f>B89/$B$82*100</f>
        <v>6.5593915060862287</v>
      </c>
      <c r="D89" s="4"/>
      <c r="E89" s="155">
        <v>5510.2362406548391</v>
      </c>
      <c r="F89" s="155"/>
      <c r="G89" s="32">
        <f t="shared" si="30"/>
        <v>6.1937935356673357</v>
      </c>
      <c r="H89" s="58"/>
      <c r="I89" s="155">
        <v>5964.4486237828723</v>
      </c>
      <c r="J89" s="156"/>
      <c r="K89" s="32">
        <f t="shared" si="31"/>
        <v>6.4233876616586514</v>
      </c>
      <c r="M89" s="157">
        <v>6648.6589626539571</v>
      </c>
      <c r="N89" s="32">
        <f>M89/$M$82*100</f>
        <v>6.2314272047555574</v>
      </c>
      <c r="P89" s="155">
        <v>6759.2429662683307</v>
      </c>
      <c r="Q89" s="32">
        <f>P89/$P$82*100</f>
        <v>6.7098973776552553</v>
      </c>
    </row>
    <row r="90" spans="1:22" ht="12" customHeight="1" x14ac:dyDescent="0.25">
      <c r="A90" s="30" t="s">
        <v>109</v>
      </c>
      <c r="B90" s="151">
        <v>1598.971343110001</v>
      </c>
      <c r="C90" s="137">
        <f t="shared" ref="C90:C92" si="32">B90/$B$82*100</f>
        <v>2.1656990411897294</v>
      </c>
      <c r="D90" s="4"/>
      <c r="E90" s="155">
        <v>1511.027919238951</v>
      </c>
      <c r="F90" s="155"/>
      <c r="G90" s="32">
        <f t="shared" si="30"/>
        <v>1.6984743574774304</v>
      </c>
      <c r="H90" s="58"/>
      <c r="I90" s="155">
        <v>1677.4808533258881</v>
      </c>
      <c r="J90" s="156"/>
      <c r="K90" s="32">
        <f t="shared" si="31"/>
        <v>1.8065558940279991</v>
      </c>
      <c r="M90" s="157">
        <v>1314.3235046200798</v>
      </c>
      <c r="N90" s="32">
        <f>M90/$M$82*100</f>
        <v>1.2318440889424069</v>
      </c>
      <c r="P90" s="155">
        <v>1490.6110803468098</v>
      </c>
      <c r="Q90" s="32">
        <f>P90/$P$82*100</f>
        <v>1.4797289325204985</v>
      </c>
    </row>
    <row r="91" spans="1:22" ht="12" customHeight="1" x14ac:dyDescent="0.25">
      <c r="A91" s="30" t="s">
        <v>110</v>
      </c>
      <c r="B91" s="151">
        <v>3653.7066735498383</v>
      </c>
      <c r="C91" s="137">
        <f t="shared" si="32"/>
        <v>4.948699721100029</v>
      </c>
      <c r="D91" s="4"/>
      <c r="E91" s="155">
        <v>3634.3528400654895</v>
      </c>
      <c r="F91" s="155"/>
      <c r="G91" s="32">
        <f t="shared" si="30"/>
        <v>4.085202547405971</v>
      </c>
      <c r="H91" s="58"/>
      <c r="I91" s="155">
        <v>3822.8347697676436</v>
      </c>
      <c r="J91" s="156"/>
      <c r="K91" s="32">
        <f t="shared" si="31"/>
        <v>4.1169857000312531</v>
      </c>
      <c r="M91" s="157">
        <v>2754.2633367445214</v>
      </c>
      <c r="N91" s="32">
        <f>M91/$M$82*100</f>
        <v>2.5814215441123554</v>
      </c>
      <c r="P91" s="155">
        <v>4605.4447333935505</v>
      </c>
      <c r="Q91" s="32">
        <f>P91/$P$82*100</f>
        <v>4.5718228644463306</v>
      </c>
    </row>
    <row r="92" spans="1:22" ht="12" customHeight="1" x14ac:dyDescent="0.25">
      <c r="A92" s="30" t="s">
        <v>15</v>
      </c>
      <c r="B92" s="151">
        <v>3326.7919104872049</v>
      </c>
      <c r="C92" s="137">
        <f t="shared" si="32"/>
        <v>4.5059156824952762</v>
      </c>
      <c r="D92" s="4"/>
      <c r="E92" s="155">
        <v>4234.1231459393221</v>
      </c>
      <c r="F92" s="155"/>
      <c r="G92" s="32">
        <f t="shared" si="30"/>
        <v>4.75937571914735</v>
      </c>
      <c r="H92" s="58"/>
      <c r="I92" s="155">
        <v>4057.3446945402102</v>
      </c>
      <c r="J92" s="156"/>
      <c r="K92" s="32">
        <f t="shared" si="31"/>
        <v>4.3695401694107243</v>
      </c>
      <c r="M92" s="157">
        <v>5985.6997583201801</v>
      </c>
      <c r="N92" s="32">
        <f>M92/$M$82*100</f>
        <v>5.6100715231461127</v>
      </c>
      <c r="P92" s="155">
        <v>6085.0042234605962</v>
      </c>
      <c r="Q92" s="32">
        <f>P92/$P$82*100</f>
        <v>6.0405808883891705</v>
      </c>
    </row>
    <row r="93" spans="1:22" ht="12.95" customHeight="1" x14ac:dyDescent="0.25">
      <c r="A93" s="148" t="s">
        <v>16</v>
      </c>
      <c r="B93" s="150">
        <f>B94</f>
        <v>244.06305901056086</v>
      </c>
      <c r="C93" s="143">
        <f>B93/$B$82*100</f>
        <v>0.33056698305858345</v>
      </c>
      <c r="D93" s="4"/>
      <c r="E93" s="154">
        <f>E94</f>
        <v>295.69638471081913</v>
      </c>
      <c r="F93" s="154"/>
      <c r="G93" s="25">
        <f t="shared" si="30"/>
        <v>0.33237819145199093</v>
      </c>
      <c r="H93" s="29"/>
      <c r="I93" s="150">
        <f>I94</f>
        <v>456.01423226543153</v>
      </c>
      <c r="J93" s="243"/>
      <c r="K93" s="26">
        <f t="shared" si="31"/>
        <v>0.49110259436131026</v>
      </c>
      <c r="M93" s="225">
        <f>+M94</f>
        <v>392.44401111656845</v>
      </c>
      <c r="N93" s="127">
        <f t="shared" ref="N93:N98" si="33">M93/$M$82*100</f>
        <v>0.36781647260773437</v>
      </c>
      <c r="P93" s="158">
        <f>+P94</f>
        <v>504.28749822511782</v>
      </c>
      <c r="Q93" s="38">
        <f>Q94</f>
        <v>0.50060596709000138</v>
      </c>
    </row>
    <row r="94" spans="1:22" ht="12" customHeight="1" x14ac:dyDescent="0.25">
      <c r="A94" s="30" t="s">
        <v>18</v>
      </c>
      <c r="B94" s="151">
        <v>244.06305901056086</v>
      </c>
      <c r="C94" s="137">
        <f t="shared" ref="C94:C98" si="34">B94/$B$82*100</f>
        <v>0.33056698305858345</v>
      </c>
      <c r="D94" s="4"/>
      <c r="E94" s="151">
        <v>295.69638471081913</v>
      </c>
      <c r="F94" s="151"/>
      <c r="G94" s="32">
        <f t="shared" si="30"/>
        <v>0.33237819145199093</v>
      </c>
      <c r="H94" s="58"/>
      <c r="I94" s="155">
        <v>456.01423226543153</v>
      </c>
      <c r="J94" s="156"/>
      <c r="K94" s="32">
        <f t="shared" si="31"/>
        <v>0.49110259436131026</v>
      </c>
      <c r="M94" s="115">
        <v>392.44401111656845</v>
      </c>
      <c r="N94" s="32">
        <f t="shared" si="33"/>
        <v>0.36781647260773437</v>
      </c>
      <c r="O94" s="203"/>
      <c r="P94" s="156">
        <v>504.28749822511782</v>
      </c>
      <c r="Q94" s="32">
        <f>P94/P82*100</f>
        <v>0.50060596709000138</v>
      </c>
    </row>
    <row r="95" spans="1:22" ht="12.95" customHeight="1" x14ac:dyDescent="0.25">
      <c r="A95" s="148" t="s">
        <v>21</v>
      </c>
      <c r="B95" s="154">
        <f>B96+B97+B98</f>
        <v>2976.7209637044343</v>
      </c>
      <c r="C95" s="143">
        <f>B95/$B$82*100</f>
        <v>4.0317681519202582</v>
      </c>
      <c r="D95" s="4"/>
      <c r="E95" s="154">
        <f>E96+E97+E98</f>
        <v>2776.6624629384792</v>
      </c>
      <c r="F95" s="154"/>
      <c r="G95" s="25">
        <f t="shared" si="30"/>
        <v>3.1211137349774805</v>
      </c>
      <c r="H95" s="29"/>
      <c r="I95" s="150">
        <f>I96+I97+I98</f>
        <v>3157.0773345627385</v>
      </c>
      <c r="J95" s="243"/>
      <c r="K95" s="26">
        <f t="shared" si="31"/>
        <v>3.4000010523807154</v>
      </c>
      <c r="M95" s="226">
        <f>SUM(L96:M98)</f>
        <v>3299.8013031844275</v>
      </c>
      <c r="N95" s="127">
        <f t="shared" si="33"/>
        <v>3.0927246722162036</v>
      </c>
      <c r="O95" s="203"/>
      <c r="P95" s="150">
        <f>SUM(O96:P97)</f>
        <v>3491.2030835443279</v>
      </c>
      <c r="Q95" s="38">
        <f>Q96+Q97</f>
        <v>3.4657156921330396</v>
      </c>
    </row>
    <row r="96" spans="1:22" ht="12" customHeight="1" x14ac:dyDescent="0.25">
      <c r="A96" s="30" t="s">
        <v>22</v>
      </c>
      <c r="B96" s="151">
        <v>1868.5004475630503</v>
      </c>
      <c r="C96" s="137">
        <f t="shared" si="34"/>
        <v>2.5307580684211755</v>
      </c>
      <c r="D96" s="4"/>
      <c r="E96" s="155">
        <v>1743.798888165544</v>
      </c>
      <c r="F96" s="155"/>
      <c r="G96" s="32">
        <f t="shared" si="30"/>
        <v>1.9601210926920385</v>
      </c>
      <c r="H96" s="58"/>
      <c r="I96" s="155">
        <v>1958.3092192748618</v>
      </c>
      <c r="J96" s="156"/>
      <c r="K96" s="32">
        <f t="shared" si="31"/>
        <v>2.1089928122852175</v>
      </c>
      <c r="M96" s="157">
        <v>2295.8752158999173</v>
      </c>
      <c r="N96" s="32">
        <f t="shared" si="33"/>
        <v>2.1517992364240621</v>
      </c>
      <c r="P96" s="155">
        <v>2746.4392859126392</v>
      </c>
      <c r="Q96" s="32">
        <f>P96/$P$82*100</f>
        <v>2.726389013444293</v>
      </c>
    </row>
    <row r="97" spans="1:17" ht="12" customHeight="1" x14ac:dyDescent="0.25">
      <c r="A97" s="30" t="s">
        <v>23</v>
      </c>
      <c r="B97" s="151">
        <v>632.21522224480418</v>
      </c>
      <c r="C97" s="137">
        <f t="shared" si="34"/>
        <v>0.85629295768243874</v>
      </c>
      <c r="D97" s="4"/>
      <c r="E97" s="155">
        <v>707.8375788621488</v>
      </c>
      <c r="F97" s="155"/>
      <c r="G97" s="32">
        <f t="shared" si="30"/>
        <v>0.79564643488638787</v>
      </c>
      <c r="H97" s="58"/>
      <c r="I97" s="155">
        <v>910.66240524673162</v>
      </c>
      <c r="J97" s="156"/>
      <c r="K97" s="32">
        <f t="shared" si="31"/>
        <v>0.98073401696739826</v>
      </c>
      <c r="M97" s="157">
        <v>785.77600149478212</v>
      </c>
      <c r="N97" s="32">
        <f t="shared" si="33"/>
        <v>0.73646519998434123</v>
      </c>
      <c r="P97" s="155">
        <v>744.76379763168859</v>
      </c>
      <c r="Q97" s="32">
        <f>P97/$P$82*100</f>
        <v>0.73932667868874657</v>
      </c>
    </row>
    <row r="98" spans="1:17" ht="12" customHeight="1" x14ac:dyDescent="0.25">
      <c r="A98" s="30" t="s">
        <v>24</v>
      </c>
      <c r="B98" s="151">
        <v>476.00529389658027</v>
      </c>
      <c r="C98" s="137">
        <f t="shared" si="34"/>
        <v>0.64471712581664442</v>
      </c>
      <c r="D98" s="4"/>
      <c r="E98" s="151">
        <v>325.02599591078678</v>
      </c>
      <c r="F98" s="151"/>
      <c r="G98" s="32">
        <f t="shared" si="30"/>
        <v>0.36534620739905443</v>
      </c>
      <c r="H98" s="58"/>
      <c r="I98" s="151">
        <v>288.1057100411453</v>
      </c>
      <c r="J98" s="152"/>
      <c r="K98" s="32">
        <f t="shared" si="31"/>
        <v>0.31027422312810027</v>
      </c>
      <c r="M98" s="39">
        <v>218.15008578972802</v>
      </c>
      <c r="N98" s="32">
        <f t="shared" si="33"/>
        <v>0.20446023580779987</v>
      </c>
      <c r="O98" s="32"/>
      <c r="P98" s="32" t="s">
        <v>95</v>
      </c>
      <c r="Q98" s="32" t="s">
        <v>95</v>
      </c>
    </row>
    <row r="99" spans="1:17" s="166" customFormat="1" ht="16.5" customHeight="1" x14ac:dyDescent="0.25">
      <c r="A99" s="149" t="s">
        <v>25</v>
      </c>
      <c r="B99" s="154">
        <v>9825.7881391556584</v>
      </c>
      <c r="C99" s="142">
        <f>B99/$B$82*100</f>
        <v>13.308368560573317</v>
      </c>
      <c r="D99" s="4"/>
      <c r="E99" s="154">
        <v>12831.364351782782</v>
      </c>
      <c r="F99" s="154"/>
      <c r="G99" s="38">
        <f t="shared" ref="G99:G109" si="35">E99/$E$82*100</f>
        <v>14.423124182860745</v>
      </c>
      <c r="H99" s="21"/>
      <c r="I99" s="150">
        <v>9698.8755984962609</v>
      </c>
      <c r="J99" s="243"/>
      <c r="K99" s="38">
        <f t="shared" ref="K99:K109" si="36">I99/$I$82*100</f>
        <v>10.445162961573191</v>
      </c>
      <c r="L99"/>
      <c r="M99" s="225">
        <v>15035.377610590589</v>
      </c>
      <c r="N99" s="127">
        <f t="shared" ref="N99:N108" si="37">M99/$M$82*100</f>
        <v>14.091843423264963</v>
      </c>
      <c r="O99"/>
      <c r="P99" s="150">
        <v>17571.234649179125</v>
      </c>
      <c r="Q99" s="38">
        <f>P99/$P$82*100</f>
        <v>17.442956538634906</v>
      </c>
    </row>
    <row r="100" spans="1:17" ht="12.95" customHeight="1" x14ac:dyDescent="0.25">
      <c r="A100" s="148" t="s">
        <v>34</v>
      </c>
      <c r="B100" s="154">
        <f>B101+B102+B103+B105+B106+B107+B108+B104+B109</f>
        <v>11469.325809314189</v>
      </c>
      <c r="C100" s="144">
        <f>B100/$B$82*100</f>
        <v>15.534429691536728</v>
      </c>
      <c r="D100" s="4"/>
      <c r="E100" s="154">
        <f>E101+E102+E103+E105+E106+E107+E108+E104+E109</f>
        <v>10826.831501893495</v>
      </c>
      <c r="F100" s="154"/>
      <c r="G100" s="25">
        <f t="shared" si="35"/>
        <v>12.169924489520263</v>
      </c>
      <c r="H100" s="29"/>
      <c r="I100" s="150">
        <f>I101+I102+I103+I105+I106+I107+I108+I104+I109</f>
        <v>12400.284753040338</v>
      </c>
      <c r="J100" s="243"/>
      <c r="K100" s="126">
        <f t="shared" si="36"/>
        <v>13.354434099092815</v>
      </c>
      <c r="M100" s="225">
        <f>M101+M102+M103+M105+M106+M107+M108+M104+M109</f>
        <v>16238.25439734982</v>
      </c>
      <c r="N100" s="127">
        <f t="shared" si="37"/>
        <v>15.21923455207515</v>
      </c>
      <c r="P100" s="161">
        <f>P101+P102+P103+P105+P106+P107+P108+P109</f>
        <v>18153.497631953891</v>
      </c>
      <c r="Q100" s="25">
        <f>P100/$P$82*100</f>
        <v>18.020968733302777</v>
      </c>
    </row>
    <row r="101" spans="1:17" ht="12" customHeight="1" x14ac:dyDescent="0.25">
      <c r="A101" s="30" t="s">
        <v>35</v>
      </c>
      <c r="B101" s="151">
        <v>2970.1210476933584</v>
      </c>
      <c r="C101" s="137">
        <f t="shared" ref="C101:C108" si="38">B101/$B$82*100</f>
        <v>4.0228290099908479</v>
      </c>
      <c r="D101" s="4"/>
      <c r="E101" s="155">
        <v>3063.1567299756939</v>
      </c>
      <c r="F101" s="155"/>
      <c r="G101" s="32">
        <f t="shared" si="35"/>
        <v>3.4431482652011738</v>
      </c>
      <c r="H101" s="58"/>
      <c r="I101" s="155">
        <v>2825.8362455465103</v>
      </c>
      <c r="J101" s="156"/>
      <c r="K101" s="32">
        <f t="shared" si="36"/>
        <v>3.0432723657193566</v>
      </c>
      <c r="M101" s="157">
        <v>3578.1817902740408</v>
      </c>
      <c r="N101" s="32">
        <f t="shared" si="37"/>
        <v>3.3536355942934692</v>
      </c>
      <c r="P101" s="155">
        <v>5107.2642171898024</v>
      </c>
      <c r="Q101" s="32">
        <f>P101/$P$82*100</f>
        <v>5.0699788347501675</v>
      </c>
    </row>
    <row r="102" spans="1:17" ht="12" customHeight="1" x14ac:dyDescent="0.25">
      <c r="A102" s="30" t="s">
        <v>37</v>
      </c>
      <c r="B102" s="151">
        <v>613.16699225000013</v>
      </c>
      <c r="C102" s="137">
        <f t="shared" si="38"/>
        <v>0.83049341248491693</v>
      </c>
      <c r="D102" s="4"/>
      <c r="E102" s="155">
        <v>678.63572799999997</v>
      </c>
      <c r="F102" s="155"/>
      <c r="G102" s="32">
        <f t="shared" si="35"/>
        <v>0.76282202823662781</v>
      </c>
      <c r="H102" s="58"/>
      <c r="I102" s="155">
        <v>995.89095166666652</v>
      </c>
      <c r="J102" s="156"/>
      <c r="K102" s="32">
        <f t="shared" si="36"/>
        <v>1.072520538744443</v>
      </c>
      <c r="M102" s="157">
        <v>1377.9150709027776</v>
      </c>
      <c r="N102" s="32">
        <f t="shared" si="37"/>
        <v>1.2914450127306292</v>
      </c>
      <c r="P102" s="155">
        <v>1565.4742109057488</v>
      </c>
      <c r="Q102" s="32">
        <f>P102/$P$82*100</f>
        <v>1.5540455277261025</v>
      </c>
    </row>
    <row r="103" spans="1:17" ht="12" customHeight="1" x14ac:dyDescent="0.25">
      <c r="A103" s="30" t="s">
        <v>38</v>
      </c>
      <c r="B103" s="151">
        <v>534.72105862541673</v>
      </c>
      <c r="C103" s="137">
        <f t="shared" si="38"/>
        <v>0.72424367638548393</v>
      </c>
      <c r="D103" s="4"/>
      <c r="E103" s="155">
        <v>620.38538759377627</v>
      </c>
      <c r="F103" s="155"/>
      <c r="G103" s="32">
        <f t="shared" si="35"/>
        <v>0.69734560107429377</v>
      </c>
      <c r="H103" s="58"/>
      <c r="I103" s="155">
        <v>640.09994485082962</v>
      </c>
      <c r="J103" s="156"/>
      <c r="K103" s="32">
        <f t="shared" si="36"/>
        <v>0.68935292217765265</v>
      </c>
      <c r="M103" s="157">
        <v>385.62600832058109</v>
      </c>
      <c r="N103" s="32">
        <f t="shared" si="37"/>
        <v>0.36142632861874935</v>
      </c>
      <c r="P103" s="155">
        <v>698.23210504614769</v>
      </c>
      <c r="Q103" s="32">
        <f>P103/$P$82*100</f>
        <v>0.69313468890295038</v>
      </c>
    </row>
    <row r="104" spans="1:17" ht="12" customHeight="1" x14ac:dyDescent="0.25">
      <c r="A104" s="30" t="s">
        <v>67</v>
      </c>
      <c r="B104" s="151">
        <v>240.09249122429907</v>
      </c>
      <c r="C104" s="137">
        <f>B104/$B$82*100</f>
        <v>0.32518911629146496</v>
      </c>
      <c r="D104" s="4"/>
      <c r="E104" s="151">
        <v>270.71997504474359</v>
      </c>
      <c r="F104" s="155"/>
      <c r="G104" s="32">
        <f t="shared" si="35"/>
        <v>0.30430340155595315</v>
      </c>
      <c r="H104" s="58"/>
      <c r="I104" s="151">
        <v>243.43757862623579</v>
      </c>
      <c r="J104" s="156"/>
      <c r="K104" s="32">
        <f t="shared" si="36"/>
        <v>0.26216906835221743</v>
      </c>
      <c r="M104" s="93">
        <v>301.95572826828362</v>
      </c>
      <c r="N104" s="32">
        <f t="shared" si="37"/>
        <v>0.28300671614109557</v>
      </c>
      <c r="P104" s="155" t="s">
        <v>95</v>
      </c>
      <c r="Q104" s="32" t="s">
        <v>95</v>
      </c>
    </row>
    <row r="105" spans="1:17" ht="12" customHeight="1" x14ac:dyDescent="0.25">
      <c r="A105" s="30" t="s">
        <v>39</v>
      </c>
      <c r="B105" s="151">
        <v>655.90846435586502</v>
      </c>
      <c r="C105" s="137">
        <f t="shared" si="38"/>
        <v>0.8883838590883375</v>
      </c>
      <c r="D105" s="4"/>
      <c r="E105" s="155">
        <v>845.31235969772922</v>
      </c>
      <c r="F105" s="155"/>
      <c r="G105" s="32">
        <f t="shared" si="35"/>
        <v>0.95017527388141254</v>
      </c>
      <c r="H105" s="58"/>
      <c r="I105" s="155">
        <v>739.5247450895157</v>
      </c>
      <c r="J105" s="156"/>
      <c r="K105" s="32">
        <f t="shared" si="36"/>
        <v>0.79642803932586625</v>
      </c>
      <c r="M105" s="157">
        <v>1175.8925985533801</v>
      </c>
      <c r="N105" s="32">
        <f t="shared" si="37"/>
        <v>1.1021003137106782</v>
      </c>
      <c r="P105" s="155">
        <v>1541.8512422099377</v>
      </c>
      <c r="Q105" s="32">
        <f>P105/$P$82*100</f>
        <v>1.5305950175882839</v>
      </c>
    </row>
    <row r="106" spans="1:17" s="4" customFormat="1" ht="12" customHeight="1" x14ac:dyDescent="0.25">
      <c r="A106" s="20" t="s">
        <v>40</v>
      </c>
      <c r="B106" s="152">
        <v>1295.3357731315036</v>
      </c>
      <c r="C106" s="137">
        <f t="shared" si="38"/>
        <v>1.7544451024577641</v>
      </c>
      <c r="E106" s="156">
        <v>969.66264966233939</v>
      </c>
      <c r="F106" s="156"/>
      <c r="G106" s="58">
        <f t="shared" si="35"/>
        <v>1.0899514991652908</v>
      </c>
      <c r="H106" s="58"/>
      <c r="I106" s="156">
        <v>3025.2057300230754</v>
      </c>
      <c r="J106" s="156"/>
      <c r="K106" s="58">
        <f t="shared" si="36"/>
        <v>3.257982486884889</v>
      </c>
      <c r="M106" s="115">
        <v>4261.171212314538</v>
      </c>
      <c r="N106" s="58">
        <f t="shared" si="37"/>
        <v>3.9937645118646232</v>
      </c>
      <c r="P106" s="156">
        <v>3373.7093126021005</v>
      </c>
      <c r="Q106" s="58">
        <f>P106/$P$82*100</f>
        <v>3.3490796798650377</v>
      </c>
    </row>
    <row r="107" spans="1:17" s="4" customFormat="1" ht="12" customHeight="1" x14ac:dyDescent="0.25">
      <c r="A107" s="20" t="s">
        <v>41</v>
      </c>
      <c r="B107" s="152">
        <v>2814.0682257637845</v>
      </c>
      <c r="C107" s="137">
        <f t="shared" si="38"/>
        <v>3.8114659681926808</v>
      </c>
      <c r="E107" s="156">
        <v>2686.2858433506685</v>
      </c>
      <c r="F107" s="156"/>
      <c r="G107" s="58">
        <f t="shared" si="35"/>
        <v>3.0195256908844881</v>
      </c>
      <c r="H107" s="58"/>
      <c r="I107" s="156">
        <v>2444.4113594212713</v>
      </c>
      <c r="J107" s="156"/>
      <c r="K107" s="58">
        <f t="shared" si="36"/>
        <v>2.6324984514941532</v>
      </c>
      <c r="M107" s="115">
        <v>3041.3356468427723</v>
      </c>
      <c r="N107" s="58">
        <f t="shared" si="37"/>
        <v>2.8504788401665655</v>
      </c>
      <c r="P107" s="156">
        <v>3267.3427224555444</v>
      </c>
      <c r="Q107" s="58">
        <f>P107/$P$82*100</f>
        <v>3.2434896148449992</v>
      </c>
    </row>
    <row r="108" spans="1:17" ht="12" customHeight="1" x14ac:dyDescent="0.25">
      <c r="A108" s="20" t="s">
        <v>111</v>
      </c>
      <c r="B108" s="152">
        <v>1790.2654789582464</v>
      </c>
      <c r="C108" s="137">
        <f t="shared" si="38"/>
        <v>2.4247940702388289</v>
      </c>
      <c r="D108" s="4"/>
      <c r="E108" s="156">
        <v>1378.4212528438172</v>
      </c>
      <c r="F108" s="156"/>
      <c r="G108" s="32">
        <f t="shared" si="35"/>
        <v>1.5494175335531324</v>
      </c>
      <c r="H108" s="99"/>
      <c r="I108" s="156">
        <v>1188.7048525684418</v>
      </c>
      <c r="J108" s="156"/>
      <c r="K108" s="32">
        <f t="shared" si="36"/>
        <v>1.2801706519686933</v>
      </c>
      <c r="M108" s="115">
        <v>1758.8174713832263</v>
      </c>
      <c r="N108" s="32">
        <f t="shared" si="37"/>
        <v>1.648444160083963</v>
      </c>
      <c r="P108" s="156">
        <v>2152.3207429778895</v>
      </c>
      <c r="Q108" s="32">
        <f>P108/$P$82*100</f>
        <v>2.1366078096691745</v>
      </c>
    </row>
    <row r="109" spans="1:17" ht="12" customHeight="1" x14ac:dyDescent="0.25">
      <c r="A109" s="30" t="s">
        <v>42</v>
      </c>
      <c r="B109" s="152">
        <v>555.6462773117139</v>
      </c>
      <c r="C109" s="137">
        <f>B109/$B$82*100</f>
        <v>0.75258547640639994</v>
      </c>
      <c r="D109" s="4"/>
      <c r="E109" s="156">
        <v>314.25157572472835</v>
      </c>
      <c r="F109" s="156"/>
      <c r="G109" s="32">
        <f t="shared" si="35"/>
        <v>0.35323519596789277</v>
      </c>
      <c r="H109" s="156"/>
      <c r="I109" s="156">
        <v>297.17334524779079</v>
      </c>
      <c r="J109" s="156"/>
      <c r="K109" s="32">
        <f t="shared" si="36"/>
        <v>0.32003957442554298</v>
      </c>
      <c r="L109" s="156"/>
      <c r="M109" s="115">
        <v>357.35887049022125</v>
      </c>
      <c r="N109" s="32">
        <f t="shared" ref="N109:N110" si="39">M109/$M$82*100</f>
        <v>0.33493307446537834</v>
      </c>
      <c r="O109" s="156"/>
      <c r="P109" s="156">
        <v>447.30307856672067</v>
      </c>
      <c r="Q109" s="58">
        <f>P109/$P$82*100</f>
        <v>0.44403755995606164</v>
      </c>
    </row>
    <row r="110" spans="1:17" ht="1.5" customHeight="1" x14ac:dyDescent="0.25">
      <c r="A110" s="30"/>
      <c r="B110" s="30"/>
      <c r="C110" s="30"/>
      <c r="D110" s="4"/>
      <c r="E110" s="53"/>
      <c r="F110" s="53"/>
      <c r="G110" s="234"/>
      <c r="H110" s="86"/>
      <c r="I110" s="53"/>
      <c r="J110" s="147"/>
      <c r="K110" s="234"/>
      <c r="M110" s="119"/>
      <c r="N110" s="32">
        <f t="shared" si="39"/>
        <v>0</v>
      </c>
      <c r="P110" s="235"/>
      <c r="Q110" s="234"/>
    </row>
    <row r="111" spans="1:17" ht="12.95" customHeight="1" x14ac:dyDescent="0.25">
      <c r="A111" s="148" t="s">
        <v>112</v>
      </c>
      <c r="B111" s="154">
        <f>SUM(B112:B114)</f>
        <v>8525.488687263165</v>
      </c>
      <c r="C111" s="142">
        <f>B111/$B$82*100</f>
        <v>11.547200489389583</v>
      </c>
      <c r="D111" s="236"/>
      <c r="E111" s="154">
        <f>SUM(E112:E114)</f>
        <v>9700.8552261041732</v>
      </c>
      <c r="F111" s="154"/>
      <c r="G111" s="38">
        <f>E111/$E$82*100</f>
        <v>10.904268304610506</v>
      </c>
      <c r="H111" s="23"/>
      <c r="I111" s="150">
        <f>SUM(I112:I114)</f>
        <v>11050.243042180948</v>
      </c>
      <c r="J111" s="243"/>
      <c r="K111" s="59">
        <f t="shared" ref="K111:K118" si="40">I111/$I$82*100</f>
        <v>11.900512401506166</v>
      </c>
      <c r="L111" s="237"/>
      <c r="M111" s="225">
        <f>SUM(M112:M114)</f>
        <v>12279.859972135037</v>
      </c>
      <c r="N111" s="127">
        <f t="shared" ref="N111:N118" si="41">M111/$M$82*100</f>
        <v>11.509246290233248</v>
      </c>
      <c r="O111" s="237"/>
      <c r="P111" s="158">
        <f>SUM(P112:P114)</f>
        <v>11866.211206991704</v>
      </c>
      <c r="Q111" s="38">
        <f>P111/$P$82*100</f>
        <v>11.779582396703598</v>
      </c>
    </row>
    <row r="112" spans="1:17" ht="12" customHeight="1" x14ac:dyDescent="0.25">
      <c r="A112" s="30" t="s">
        <v>44</v>
      </c>
      <c r="B112" s="151">
        <v>3382.7693932914572</v>
      </c>
      <c r="C112" s="137">
        <f t="shared" ref="C112:C118" si="42">B112/$B$82*100</f>
        <v>4.581733414538923</v>
      </c>
      <c r="D112" s="4"/>
      <c r="E112" s="155">
        <v>3442.8826622756965</v>
      </c>
      <c r="F112" s="155"/>
      <c r="G112" s="32">
        <f t="shared" ref="G112:G118" si="43">E112/$E$82*100</f>
        <v>3.8699800600799903</v>
      </c>
      <c r="H112" s="58"/>
      <c r="I112" s="155">
        <v>5601.1772612851564</v>
      </c>
      <c r="J112" s="156"/>
      <c r="K112" s="32">
        <f t="shared" si="40"/>
        <v>6.0321641077500248</v>
      </c>
      <c r="M112" s="157">
        <v>5456.7076352464564</v>
      </c>
      <c r="N112" s="32">
        <f t="shared" si="41"/>
        <v>5.1142759160411302</v>
      </c>
      <c r="P112" s="155">
        <v>5801.3541928965078</v>
      </c>
      <c r="Q112" s="32">
        <f>P112/$P$82*100</f>
        <v>5.7590016337667302</v>
      </c>
    </row>
    <row r="113" spans="1:17" ht="12" customHeight="1" x14ac:dyDescent="0.25">
      <c r="A113" s="205" t="s">
        <v>113</v>
      </c>
      <c r="B113" s="152">
        <v>854.26115856090587</v>
      </c>
      <c r="C113" s="137">
        <f t="shared" si="42"/>
        <v>1.1570392302482346</v>
      </c>
      <c r="D113" s="4"/>
      <c r="E113" s="156">
        <v>1058.2546203809475</v>
      </c>
      <c r="F113" s="156"/>
      <c r="G113" s="32">
        <f t="shared" si="43"/>
        <v>1.1895335046518167</v>
      </c>
      <c r="H113" s="58"/>
      <c r="I113" s="152">
        <v>1076.6715235379531</v>
      </c>
      <c r="J113" s="156"/>
      <c r="K113" s="32">
        <f t="shared" si="40"/>
        <v>1.1595168331866033</v>
      </c>
      <c r="L113" s="4"/>
      <c r="M113" s="115">
        <v>1369.4365442729227</v>
      </c>
      <c r="N113" s="32">
        <f t="shared" si="41"/>
        <v>1.2834985498733384</v>
      </c>
      <c r="O113" s="155"/>
      <c r="P113" s="155">
        <v>1427.7494062055848</v>
      </c>
      <c r="Q113" s="32">
        <f t="shared" ref="Q113:Q114" si="44">P113/$P$82*100</f>
        <v>1.4173261775699557</v>
      </c>
    </row>
    <row r="114" spans="1:17" ht="12" customHeight="1" x14ac:dyDescent="0.25">
      <c r="A114" s="30" t="s">
        <v>114</v>
      </c>
      <c r="B114" s="151">
        <v>4288.4581354108032</v>
      </c>
      <c r="C114" s="137">
        <f t="shared" si="42"/>
        <v>5.808427844602428</v>
      </c>
      <c r="D114" s="4"/>
      <c r="E114" s="156">
        <v>5199.7179434475302</v>
      </c>
      <c r="F114" s="151"/>
      <c r="G114" s="32">
        <f t="shared" si="43"/>
        <v>5.8447547398787005</v>
      </c>
      <c r="H114" s="62"/>
      <c r="I114" s="152">
        <v>4372.3942573578388</v>
      </c>
      <c r="J114" s="152"/>
      <c r="K114" s="32">
        <f t="shared" si="40"/>
        <v>4.7088314605695398</v>
      </c>
      <c r="M114" s="115">
        <v>5453.7157926156578</v>
      </c>
      <c r="N114" s="32">
        <f t="shared" si="41"/>
        <v>5.1114718243187802</v>
      </c>
      <c r="P114" s="155">
        <v>4637.1076078896112</v>
      </c>
      <c r="Q114" s="32">
        <f t="shared" si="44"/>
        <v>4.603254585366912</v>
      </c>
    </row>
    <row r="115" spans="1:17" ht="12" customHeight="1" x14ac:dyDescent="0.25">
      <c r="A115" s="148" t="s">
        <v>48</v>
      </c>
      <c r="B115" s="154">
        <f>+B116+B117+B118</f>
        <v>14540.204232386772</v>
      </c>
      <c r="C115" s="142">
        <f>B115/$B$82*100</f>
        <v>19.693727783473197</v>
      </c>
      <c r="D115" s="4"/>
      <c r="E115" s="154">
        <f>+E116+E117+E118</f>
        <v>19944.882048894993</v>
      </c>
      <c r="F115" s="154"/>
      <c r="G115" s="25">
        <f>E115/$E$82*100</f>
        <v>22.419089873615363</v>
      </c>
      <c r="H115" s="29">
        <f>H116</f>
        <v>0</v>
      </c>
      <c r="I115" s="150">
        <f>I116+I117+I118</f>
        <v>20812.140461179792</v>
      </c>
      <c r="J115" s="243"/>
      <c r="K115" s="25">
        <f>I115/$I$82*100</f>
        <v>22.413546445515607</v>
      </c>
      <c r="M115" s="225">
        <f>+M116+M117+M118</f>
        <v>21173.696072156203</v>
      </c>
      <c r="N115" s="25">
        <f>M115/$M$82*100</f>
        <v>19.844956173927802</v>
      </c>
      <c r="P115" s="158">
        <f>P116</f>
        <v>9709.9129175672697</v>
      </c>
      <c r="Q115" s="25">
        <f>Q116</f>
        <v>9.6390260785099677</v>
      </c>
    </row>
    <row r="116" spans="1:17" ht="12.95" customHeight="1" x14ac:dyDescent="0.25">
      <c r="A116" s="30" t="s">
        <v>49</v>
      </c>
      <c r="B116" s="151">
        <v>6311.7273817472951</v>
      </c>
      <c r="C116" s="137">
        <f t="shared" si="42"/>
        <v>8.5488098318974703</v>
      </c>
      <c r="D116" s="4"/>
      <c r="E116" s="155">
        <v>10237.742028141078</v>
      </c>
      <c r="F116" s="155"/>
      <c r="G116" s="32">
        <f t="shared" si="43"/>
        <v>11.507757131333859</v>
      </c>
      <c r="H116" s="58"/>
      <c r="I116" s="155">
        <v>9076.8846497043523</v>
      </c>
      <c r="J116" s="156"/>
      <c r="K116" s="32">
        <f t="shared" si="40"/>
        <v>9.7753124459358638</v>
      </c>
      <c r="M116" s="157">
        <v>8397.7149342379671</v>
      </c>
      <c r="N116" s="32">
        <f t="shared" si="41"/>
        <v>7.8707224408610568</v>
      </c>
      <c r="P116" s="155">
        <v>9709.9129175672697</v>
      </c>
      <c r="Q116" s="32">
        <f>P116/P82*100</f>
        <v>9.6390260785099677</v>
      </c>
    </row>
    <row r="117" spans="1:17" ht="22.5" customHeight="1" x14ac:dyDescent="0.25">
      <c r="A117" s="248" t="s">
        <v>78</v>
      </c>
      <c r="B117" s="249">
        <v>5916.68923521544</v>
      </c>
      <c r="C117" s="250">
        <f t="shared" si="42"/>
        <v>8.0137572564626964</v>
      </c>
      <c r="D117" s="176"/>
      <c r="E117" s="182">
        <v>6762.8638342575641</v>
      </c>
      <c r="F117" s="177"/>
      <c r="G117" s="118">
        <f t="shared" si="43"/>
        <v>7.6018124214298561</v>
      </c>
      <c r="H117" s="103"/>
      <c r="I117" s="182">
        <v>8097.00038070956</v>
      </c>
      <c r="J117" s="177"/>
      <c r="K117" s="118">
        <f t="shared" si="40"/>
        <v>8.7200302362414224</v>
      </c>
      <c r="L117" s="166"/>
      <c r="M117" s="116">
        <v>9223.8235167818129</v>
      </c>
      <c r="N117" s="118">
        <f t="shared" si="41"/>
        <v>8.6449891801029963</v>
      </c>
      <c r="O117" s="166"/>
      <c r="P117" s="116" t="s">
        <v>95</v>
      </c>
      <c r="Q117" s="116" t="s">
        <v>95</v>
      </c>
    </row>
    <row r="118" spans="1:17" ht="12" customHeight="1" x14ac:dyDescent="0.25">
      <c r="A118" s="20" t="s">
        <v>70</v>
      </c>
      <c r="B118" s="151">
        <v>2311.7876154240366</v>
      </c>
      <c r="C118" s="137">
        <f t="shared" si="42"/>
        <v>3.1311606951130311</v>
      </c>
      <c r="D118" s="4"/>
      <c r="E118" s="155">
        <v>2944.2761864963486</v>
      </c>
      <c r="F118" s="152"/>
      <c r="G118" s="32">
        <f t="shared" si="43"/>
        <v>3.3095203208516435</v>
      </c>
      <c r="H118" s="102"/>
      <c r="I118" s="155">
        <v>3638.2554307658793</v>
      </c>
      <c r="J118" s="152"/>
      <c r="K118" s="32">
        <f t="shared" si="40"/>
        <v>3.9182037633383229</v>
      </c>
      <c r="M118" s="115">
        <v>3552.1576211364236</v>
      </c>
      <c r="N118" s="32">
        <f t="shared" si="41"/>
        <v>3.3292445529637491</v>
      </c>
      <c r="P118" s="115" t="s">
        <v>95</v>
      </c>
      <c r="Q118" s="115" t="s">
        <v>95</v>
      </c>
    </row>
    <row r="119" spans="1:17" ht="12" customHeight="1" x14ac:dyDescent="0.25">
      <c r="A119" s="24" t="s">
        <v>52</v>
      </c>
      <c r="B119" s="141">
        <f>B120+B121+B122+B123+B124+B125</f>
        <v>59071.145076710629</v>
      </c>
      <c r="C119" s="141">
        <f>C120+C121+C122+C123+C124+C125</f>
        <v>100</v>
      </c>
      <c r="D119" s="4"/>
      <c r="E119" s="49">
        <f>E120+E121+E122+E123+E124+E125</f>
        <v>65303.48140659606</v>
      </c>
      <c r="F119" s="49"/>
      <c r="G119" s="49">
        <f>G120+G121+G122+G125+G123+G124</f>
        <v>100</v>
      </c>
      <c r="H119" s="48">
        <f t="shared" ref="H119:K119" si="45">H120+H121+H122+H125+H123+H124</f>
        <v>0</v>
      </c>
      <c r="I119" s="49">
        <f>I120+I121+I122+I123+I124+I125</f>
        <v>64348.522271129841</v>
      </c>
      <c r="J119" s="22"/>
      <c r="K119" s="49">
        <f t="shared" si="45"/>
        <v>99.999999999999986</v>
      </c>
      <c r="M119" s="49">
        <f>M120+M121+M122+M123+M124+M125</f>
        <v>67760.303205416058</v>
      </c>
      <c r="N119" s="49">
        <f>N121+N122+N123+N124+N120+N125</f>
        <v>100</v>
      </c>
      <c r="P119" s="49">
        <f>SUM(P120:P124)</f>
        <v>70144.724669711941</v>
      </c>
      <c r="Q119" s="49">
        <f>SUM(Q120:Q124)</f>
        <v>100.00000000000001</v>
      </c>
    </row>
    <row r="120" spans="1:17" ht="12.95" customHeight="1" x14ac:dyDescent="0.25">
      <c r="A120" s="30" t="s">
        <v>53</v>
      </c>
      <c r="B120" s="151">
        <v>17012.216459332663</v>
      </c>
      <c r="C120" s="137">
        <f>B120/$B$119*100</f>
        <v>28.799537299032135</v>
      </c>
      <c r="D120" s="4"/>
      <c r="E120" s="155">
        <v>17305.649772435714</v>
      </c>
      <c r="F120" s="155"/>
      <c r="G120" s="32">
        <f t="shared" ref="G120:G125" si="46">E120/$E$119*100</f>
        <v>26.500347913591838</v>
      </c>
      <c r="H120" s="58"/>
      <c r="I120" s="155">
        <v>17784.996451734114</v>
      </c>
      <c r="J120" s="156"/>
      <c r="K120" s="32">
        <f t="shared" ref="K120:K125" si="47">I120/$I$119*100</f>
        <v>27.638546813550381</v>
      </c>
      <c r="M120" s="157">
        <v>18545.950824961503</v>
      </c>
      <c r="N120" s="32">
        <f t="shared" ref="N120:N125" si="48">M120/$M$119*100</f>
        <v>27.369934825615022</v>
      </c>
      <c r="P120" s="155">
        <v>19487.275942977969</v>
      </c>
      <c r="Q120" s="32">
        <f>(P120/P119)*100</f>
        <v>27.781527455894988</v>
      </c>
    </row>
    <row r="121" spans="1:17" ht="12" customHeight="1" x14ac:dyDescent="0.25">
      <c r="A121" s="30" t="s">
        <v>54</v>
      </c>
      <c r="B121" s="151">
        <v>7206.2429251276217</v>
      </c>
      <c r="C121" s="137">
        <f t="shared" ref="C121:C125" si="49">B121/$B$119*100</f>
        <v>12.199260596302123</v>
      </c>
      <c r="D121" s="4"/>
      <c r="E121" s="155">
        <v>8764.2404306084754</v>
      </c>
      <c r="F121" s="155"/>
      <c r="G121" s="32">
        <f t="shared" si="46"/>
        <v>13.420785908855439</v>
      </c>
      <c r="H121" s="58"/>
      <c r="I121" s="155">
        <v>7272.0178943621304</v>
      </c>
      <c r="J121" s="156"/>
      <c r="K121" s="32">
        <f t="shared" si="47"/>
        <v>11.300986623627164</v>
      </c>
      <c r="M121" s="157">
        <v>8279.4329580390295</v>
      </c>
      <c r="N121" s="32">
        <f t="shared" si="48"/>
        <v>12.2187070694472</v>
      </c>
      <c r="P121" s="155">
        <v>9352.8554196101868</v>
      </c>
      <c r="Q121" s="32">
        <f>(P121/P119)*100</f>
        <v>13.333654759712374</v>
      </c>
    </row>
    <row r="122" spans="1:17" ht="12" customHeight="1" x14ac:dyDescent="0.25">
      <c r="A122" s="30" t="s">
        <v>56</v>
      </c>
      <c r="B122" s="151">
        <v>13211.430979871002</v>
      </c>
      <c r="C122" s="137">
        <f t="shared" si="49"/>
        <v>22.365286744847165</v>
      </c>
      <c r="D122" s="4"/>
      <c r="E122" s="155">
        <v>14515.306471378175</v>
      </c>
      <c r="F122" s="155"/>
      <c r="G122" s="32">
        <f t="shared" si="46"/>
        <v>22.227461934230107</v>
      </c>
      <c r="H122" s="58"/>
      <c r="I122" s="155">
        <v>13862.967118727907</v>
      </c>
      <c r="J122" s="156"/>
      <c r="K122" s="32">
        <f t="shared" si="47"/>
        <v>21.543567170535585</v>
      </c>
      <c r="M122" s="157">
        <v>17721.484266361822</v>
      </c>
      <c r="N122" s="32">
        <f t="shared" si="48"/>
        <v>26.153195053804524</v>
      </c>
      <c r="P122" s="155">
        <v>18183.954468052452</v>
      </c>
      <c r="Q122" s="32">
        <f>(P122/P119)*100</f>
        <v>25.92348113657102</v>
      </c>
    </row>
    <row r="123" spans="1:17" ht="12" customHeight="1" x14ac:dyDescent="0.25">
      <c r="A123" s="30" t="s">
        <v>115</v>
      </c>
      <c r="B123" s="151">
        <v>17470.341463638753</v>
      </c>
      <c r="C123" s="137">
        <f t="shared" si="49"/>
        <v>29.575085163748767</v>
      </c>
      <c r="D123" s="4"/>
      <c r="E123" s="155">
        <v>19592.522847714172</v>
      </c>
      <c r="F123" s="155"/>
      <c r="G123" s="32">
        <f t="shared" si="46"/>
        <v>30.002263930962808</v>
      </c>
      <c r="H123" s="58"/>
      <c r="I123" s="155">
        <v>19109.126308491253</v>
      </c>
      <c r="J123" s="156"/>
      <c r="K123" s="32">
        <f t="shared" si="47"/>
        <v>29.69629392261059</v>
      </c>
      <c r="M123" s="157">
        <v>17233.081747996846</v>
      </c>
      <c r="N123" s="32">
        <f t="shared" si="48"/>
        <v>25.43241534170026</v>
      </c>
      <c r="P123" s="155">
        <v>17520.745223112732</v>
      </c>
      <c r="Q123" s="32">
        <f>(P123/P119)*100</f>
        <v>24.977994147973444</v>
      </c>
    </row>
    <row r="124" spans="1:17" ht="12" customHeight="1" x14ac:dyDescent="0.25">
      <c r="A124" s="30" t="s">
        <v>58</v>
      </c>
      <c r="B124" s="151">
        <v>3671.0031615979833</v>
      </c>
      <c r="C124" s="137">
        <f t="shared" si="49"/>
        <v>6.2145454550284516</v>
      </c>
      <c r="D124" s="4"/>
      <c r="E124" s="155">
        <v>4680.4033554929201</v>
      </c>
      <c r="F124" s="155"/>
      <c r="G124" s="32">
        <f t="shared" si="46"/>
        <v>7.1671574848384267</v>
      </c>
      <c r="H124" s="58"/>
      <c r="I124" s="155">
        <v>5775.134513138697</v>
      </c>
      <c r="J124" s="156"/>
      <c r="K124" s="32">
        <f t="shared" si="47"/>
        <v>8.9747741040663005</v>
      </c>
      <c r="M124" s="157">
        <v>5474.4386432949323</v>
      </c>
      <c r="N124" s="32">
        <f t="shared" si="48"/>
        <v>8.0791235934985632</v>
      </c>
      <c r="P124" s="155">
        <v>5599.893615958601</v>
      </c>
      <c r="Q124" s="32">
        <f>(P124/P119)*100</f>
        <v>7.9833424998481757</v>
      </c>
    </row>
    <row r="125" spans="1:17" ht="12" customHeight="1" x14ac:dyDescent="0.25">
      <c r="A125" s="105" t="s">
        <v>79</v>
      </c>
      <c r="B125" s="151">
        <v>499.91008714260312</v>
      </c>
      <c r="C125" s="137">
        <f t="shared" si="49"/>
        <v>0.84628474104135409</v>
      </c>
      <c r="D125" s="4"/>
      <c r="E125" s="155">
        <v>445.35852896660606</v>
      </c>
      <c r="F125" s="159"/>
      <c r="G125" s="32">
        <f t="shared" si="46"/>
        <v>0.6819828275213855</v>
      </c>
      <c r="H125" s="106"/>
      <c r="I125" s="159">
        <v>544.27998467573184</v>
      </c>
      <c r="J125" s="159"/>
      <c r="K125" s="32">
        <f t="shared" si="47"/>
        <v>0.84583136560996786</v>
      </c>
      <c r="M125" s="157">
        <v>505.91476476192997</v>
      </c>
      <c r="N125" s="32">
        <f t="shared" si="48"/>
        <v>0.74662411593443456</v>
      </c>
      <c r="P125" s="116" t="s">
        <v>66</v>
      </c>
      <c r="Q125" s="116" t="s">
        <v>66</v>
      </c>
    </row>
    <row r="126" spans="1:17" ht="24.75" customHeight="1" x14ac:dyDescent="0.25">
      <c r="A126" s="37" t="s">
        <v>61</v>
      </c>
      <c r="B126" s="215">
        <f>B128+B127+B129</f>
        <v>4646.9069910676963</v>
      </c>
      <c r="C126" s="215">
        <f>C128+C127+C129</f>
        <v>99.999999999999986</v>
      </c>
      <c r="D126" s="4"/>
      <c r="E126" s="49">
        <f>E128+E127+E129</f>
        <v>4528.4467939519254</v>
      </c>
      <c r="F126" s="49"/>
      <c r="G126" s="49">
        <f>G128+G127+G129</f>
        <v>99.999999999999972</v>
      </c>
      <c r="H126" s="48">
        <f>H128+H127+H129</f>
        <v>0</v>
      </c>
      <c r="I126" s="49">
        <f>I128+I127+I129</f>
        <v>4549.7651091025609</v>
      </c>
      <c r="J126" s="22"/>
      <c r="K126" s="49">
        <f>K128+K127+K129</f>
        <v>100</v>
      </c>
      <c r="M126" s="49">
        <f>M127+M128+M129</f>
        <v>4388.7002579375012</v>
      </c>
      <c r="N126" s="49">
        <f>N128+N127+N129</f>
        <v>99.999999999999986</v>
      </c>
      <c r="P126" s="49">
        <f>P128+P127</f>
        <v>4279.4689203384169</v>
      </c>
      <c r="Q126" s="49">
        <f>Q128+Q127</f>
        <v>100.00000000000001</v>
      </c>
    </row>
    <row r="127" spans="1:17" ht="12.95" customHeight="1" x14ac:dyDescent="0.25">
      <c r="A127" s="20" t="s">
        <v>80</v>
      </c>
      <c r="B127" s="152">
        <v>1210.260760852334</v>
      </c>
      <c r="C127" s="138">
        <f>B127/$B$126*100</f>
        <v>26.044436937918107</v>
      </c>
      <c r="D127" s="4"/>
      <c r="E127" s="156">
        <v>665.11967716519246</v>
      </c>
      <c r="F127" s="156"/>
      <c r="G127" s="32">
        <f>E127/$E$126*100</f>
        <v>14.687589529670722</v>
      </c>
      <c r="H127" s="58"/>
      <c r="I127" s="156">
        <v>610.62968676571688</v>
      </c>
      <c r="J127" s="156"/>
      <c r="K127" s="32">
        <f>I127/$I$126*100</f>
        <v>13.421125533361069</v>
      </c>
      <c r="M127" s="115">
        <v>608.13840676571681</v>
      </c>
      <c r="N127" s="32">
        <f>(M127/$M$126)*100</f>
        <v>13.856913687960898</v>
      </c>
      <c r="P127" s="156">
        <v>613.21003185529935</v>
      </c>
      <c r="Q127" s="32">
        <f>(P127/$P$126)*100</f>
        <v>14.329115207286216</v>
      </c>
    </row>
    <row r="128" spans="1:17" ht="12.95" customHeight="1" x14ac:dyDescent="0.25">
      <c r="A128" s="20" t="s">
        <v>97</v>
      </c>
      <c r="B128" s="151">
        <v>3317.6462302153623</v>
      </c>
      <c r="C128" s="138">
        <f t="shared" ref="C128" si="50">B128/$B$126*100</f>
        <v>71.39471989847344</v>
      </c>
      <c r="D128" s="4"/>
      <c r="E128" s="155">
        <v>3693.7014404016877</v>
      </c>
      <c r="F128" s="155"/>
      <c r="G128" s="32">
        <f>E128/$E$126*100</f>
        <v>81.566629983041821</v>
      </c>
      <c r="H128" s="58"/>
      <c r="I128" s="155">
        <v>3743.9267261610898</v>
      </c>
      <c r="J128" s="156"/>
      <c r="K128" s="32">
        <f>I128/$I$126*100</f>
        <v>82.288351956252484</v>
      </c>
      <c r="M128" s="157">
        <v>3582.2071291606344</v>
      </c>
      <c r="N128" s="32">
        <f>(M128/$M$126)*100</f>
        <v>81.623417381530544</v>
      </c>
      <c r="P128" s="155">
        <v>3666.258888483118</v>
      </c>
      <c r="Q128" s="32">
        <f>(P128/$P$126)*100</f>
        <v>85.670884792713792</v>
      </c>
    </row>
    <row r="129" spans="1:17" ht="12.95" customHeight="1" x14ac:dyDescent="0.25">
      <c r="A129" s="105" t="s">
        <v>116</v>
      </c>
      <c r="B129" s="153">
        <v>119</v>
      </c>
      <c r="C129" s="138">
        <f>B129/$B$126*100</f>
        <v>2.5608431636084452</v>
      </c>
      <c r="D129" s="140">
        <v>0</v>
      </c>
      <c r="E129" s="153">
        <v>169.62567638504481</v>
      </c>
      <c r="F129" s="140">
        <v>0</v>
      </c>
      <c r="G129" s="32">
        <f>E129/$E$126*100</f>
        <v>3.7457804872874383</v>
      </c>
      <c r="H129" s="140">
        <v>0</v>
      </c>
      <c r="I129" s="140">
        <v>195.20869617575443</v>
      </c>
      <c r="J129" s="140"/>
      <c r="K129" s="32">
        <f>I129/$I$126*100</f>
        <v>4.2905225103864595</v>
      </c>
      <c r="L129" s="140">
        <v>0</v>
      </c>
      <c r="M129" s="227">
        <v>198.3547220111497</v>
      </c>
      <c r="N129" s="32">
        <f>(M129/$M$126)*100</f>
        <v>4.5196689305085469</v>
      </c>
      <c r="O129" s="140">
        <v>0</v>
      </c>
      <c r="P129" s="140">
        <v>0</v>
      </c>
      <c r="Q129" s="140">
        <v>0</v>
      </c>
    </row>
    <row r="130" spans="1:17" ht="8.25" customHeight="1" x14ac:dyDescent="0.25">
      <c r="A130" s="193"/>
      <c r="B130" s="193"/>
      <c r="C130" s="193"/>
      <c r="D130" s="193"/>
      <c r="E130" s="193"/>
      <c r="F130" s="193"/>
      <c r="G130" s="193"/>
      <c r="H130" s="193"/>
      <c r="I130" s="193"/>
      <c r="J130" s="81"/>
      <c r="K130" s="193"/>
      <c r="L130" s="193"/>
      <c r="M130" s="193"/>
      <c r="N130" s="193"/>
      <c r="O130" s="193"/>
      <c r="P130" s="193"/>
      <c r="Q130" s="193"/>
    </row>
    <row r="131" spans="1:17" ht="15" customHeight="1" x14ac:dyDescent="0.25">
      <c r="A131" s="168" t="s">
        <v>98</v>
      </c>
      <c r="B131" s="4"/>
      <c r="C131" s="4"/>
      <c r="D131" s="4"/>
      <c r="E131" s="4"/>
      <c r="F131" s="58"/>
      <c r="G131" s="4"/>
      <c r="H131" s="4"/>
      <c r="I131" s="4"/>
      <c r="K131" s="58"/>
      <c r="L131" s="4"/>
      <c r="M131" s="228"/>
      <c r="N131" s="4"/>
      <c r="O131" s="4"/>
      <c r="P131" s="4"/>
      <c r="Q131" s="4"/>
    </row>
    <row r="132" spans="1:17" ht="13.5" customHeight="1" x14ac:dyDescent="0.25">
      <c r="A132" s="168" t="s">
        <v>99</v>
      </c>
      <c r="B132" s="4"/>
      <c r="C132" s="4"/>
      <c r="D132" s="4"/>
      <c r="E132" s="4"/>
      <c r="F132" s="58"/>
      <c r="G132" s="4"/>
      <c r="H132" s="4"/>
      <c r="I132" s="4"/>
      <c r="K132" s="58"/>
      <c r="L132" s="4"/>
      <c r="M132" s="228"/>
      <c r="N132" s="4"/>
      <c r="O132" s="4"/>
      <c r="P132" s="4"/>
      <c r="Q132" s="4"/>
    </row>
    <row r="133" spans="1:17" ht="16.5" customHeight="1" x14ac:dyDescent="0.25">
      <c r="A133" s="247" t="s">
        <v>100</v>
      </c>
      <c r="B133" s="4"/>
      <c r="C133" s="4"/>
      <c r="D133" s="4"/>
      <c r="E133" s="4"/>
      <c r="F133" s="58"/>
      <c r="G133" s="4"/>
      <c r="H133" s="4"/>
      <c r="I133" s="4"/>
      <c r="K133" s="58"/>
      <c r="L133" s="4"/>
      <c r="M133" s="228"/>
      <c r="N133" s="4"/>
      <c r="O133" s="4"/>
      <c r="P133" s="4"/>
      <c r="Q133" s="4"/>
    </row>
    <row r="134" spans="1:17" ht="10.5" customHeight="1" x14ac:dyDescent="0.25">
      <c r="A134" s="247" t="s">
        <v>101</v>
      </c>
      <c r="B134" s="4"/>
      <c r="C134" s="4"/>
      <c r="D134" s="4"/>
      <c r="E134" s="4"/>
      <c r="F134" s="58"/>
      <c r="G134" s="4"/>
      <c r="H134" s="4"/>
      <c r="I134" s="4"/>
      <c r="K134" s="58"/>
      <c r="L134" s="4"/>
      <c r="M134" s="228"/>
      <c r="N134" s="4"/>
      <c r="O134" s="4"/>
      <c r="P134" s="4"/>
      <c r="Q134" s="4"/>
    </row>
    <row r="135" spans="1:17" ht="15" customHeight="1" x14ac:dyDescent="0.3">
      <c r="A135" s="174" t="s">
        <v>88</v>
      </c>
      <c r="B135" s="4"/>
      <c r="C135" s="4"/>
      <c r="D135" s="4"/>
      <c r="E135" s="4"/>
      <c r="F135" s="58"/>
      <c r="G135" s="4"/>
      <c r="H135" s="4"/>
      <c r="I135" s="4"/>
      <c r="K135" s="58"/>
      <c r="L135" s="4"/>
      <c r="M135" s="228"/>
      <c r="N135" s="4"/>
      <c r="O135" s="4"/>
      <c r="P135" s="4"/>
      <c r="Q135" s="4"/>
    </row>
    <row r="136" spans="1:17" ht="9.75" customHeight="1" x14ac:dyDescent="0.25">
      <c r="A136" s="175" t="s">
        <v>102</v>
      </c>
      <c r="B136" s="173"/>
      <c r="C136" s="173"/>
      <c r="D136" s="173"/>
      <c r="E136" s="173"/>
      <c r="F136" s="58"/>
      <c r="G136" s="173"/>
      <c r="H136" s="173"/>
      <c r="I136" s="173"/>
      <c r="J136" s="173"/>
      <c r="K136" s="156"/>
      <c r="L136" s="173"/>
      <c r="M136" s="228"/>
      <c r="N136" s="4"/>
      <c r="O136" s="4"/>
      <c r="P136" s="4"/>
      <c r="Q136" s="4"/>
    </row>
    <row r="137" spans="1:17" ht="9.75" customHeight="1" x14ac:dyDescent="0.25">
      <c r="A137" s="175"/>
      <c r="B137" s="173"/>
      <c r="C137" s="173"/>
      <c r="D137" s="173"/>
      <c r="E137" s="173"/>
      <c r="F137" s="58"/>
      <c r="G137" s="173"/>
      <c r="H137" s="173"/>
      <c r="I137" s="173"/>
      <c r="J137" s="173"/>
      <c r="K137" s="156"/>
      <c r="L137" s="173"/>
      <c r="M137" s="228"/>
      <c r="N137" s="4"/>
      <c r="O137" s="4"/>
      <c r="P137" s="4"/>
      <c r="Q137" s="4"/>
    </row>
    <row r="138" spans="1:17" s="4" customFormat="1" ht="11.25" customHeight="1" x14ac:dyDescent="0.25">
      <c r="A138" s="372"/>
      <c r="B138" s="372"/>
      <c r="C138" s="372"/>
      <c r="D138" s="372"/>
      <c r="E138" s="372"/>
      <c r="F138" s="372"/>
      <c r="G138" s="372"/>
      <c r="H138" s="60"/>
      <c r="I138" s="53"/>
      <c r="J138" s="147"/>
      <c r="N138" s="226" t="s">
        <v>117</v>
      </c>
    </row>
    <row r="139" spans="1:17" s="4" customFormat="1" ht="14.25" customHeight="1" x14ac:dyDescent="0.25">
      <c r="A139" s="386" t="str">
        <f t="shared" ref="A139" si="51">$A$2</f>
        <v>Cuadro 1.5</v>
      </c>
      <c r="B139" s="386"/>
      <c r="C139" s="386"/>
      <c r="D139" s="386"/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</row>
    <row r="140" spans="1:17" ht="12.75" customHeight="1" x14ac:dyDescent="0.25">
      <c r="A140" s="383" t="s">
        <v>118</v>
      </c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0"/>
      <c r="P140" s="380"/>
      <c r="Q140" s="380"/>
    </row>
    <row r="141" spans="1:17" ht="12.75" customHeight="1" x14ac:dyDescent="0.25">
      <c r="A141" s="383" t="s">
        <v>119</v>
      </c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0"/>
      <c r="P141" s="380"/>
      <c r="Q141" s="380"/>
    </row>
    <row r="142" spans="1:17" ht="15" customHeight="1" thickBot="1" x14ac:dyDescent="0.3">
      <c r="A142" s="397" t="s">
        <v>3</v>
      </c>
      <c r="B142" s="396">
        <v>2012</v>
      </c>
      <c r="C142" s="396"/>
      <c r="D142" s="197"/>
      <c r="E142" s="396" t="s">
        <v>85</v>
      </c>
      <c r="F142" s="396"/>
      <c r="G142" s="396"/>
      <c r="H142" s="198"/>
      <c r="I142" s="396" t="s">
        <v>120</v>
      </c>
      <c r="J142" s="396"/>
      <c r="K142" s="396"/>
      <c r="L142" s="185"/>
      <c r="M142" s="396" t="s">
        <v>121</v>
      </c>
      <c r="N142" s="396"/>
      <c r="P142" s="4"/>
      <c r="Q142" s="4"/>
    </row>
    <row r="143" spans="1:17" ht="33" customHeight="1" thickBot="1" x14ac:dyDescent="0.3">
      <c r="A143" s="397"/>
      <c r="B143" s="185" t="s">
        <v>122</v>
      </c>
      <c r="C143" s="185" t="s">
        <v>105</v>
      </c>
      <c r="D143" s="199"/>
      <c r="E143" s="185" t="s">
        <v>122</v>
      </c>
      <c r="F143" s="184"/>
      <c r="G143" s="185" t="s">
        <v>105</v>
      </c>
      <c r="H143" s="184"/>
      <c r="I143" s="185" t="s">
        <v>122</v>
      </c>
      <c r="J143" s="214"/>
      <c r="K143" s="185" t="s">
        <v>105</v>
      </c>
      <c r="L143" s="185"/>
      <c r="M143" s="224" t="s">
        <v>107</v>
      </c>
      <c r="N143" s="185" t="s">
        <v>105</v>
      </c>
      <c r="O143" s="214"/>
      <c r="P143" s="4"/>
      <c r="Q143" s="4"/>
    </row>
    <row r="144" spans="1:17" ht="15" customHeight="1" x14ac:dyDescent="0.25">
      <c r="A144" s="13" t="s">
        <v>6</v>
      </c>
      <c r="B144" s="96">
        <f>B145+B182+B189</f>
        <v>189590.05411125463</v>
      </c>
      <c r="C144" s="96"/>
      <c r="D144" s="96"/>
      <c r="E144" s="96">
        <f>E145+E182+E189</f>
        <v>197324.61438804067</v>
      </c>
      <c r="F144" s="96"/>
      <c r="G144" s="96"/>
      <c r="H144" s="96"/>
      <c r="I144" s="96">
        <f>I145+I182+I189</f>
        <v>213817.31352016612</v>
      </c>
      <c r="J144" s="136"/>
      <c r="K144" s="96"/>
      <c r="L144" s="96"/>
      <c r="M144" s="96">
        <f>M145+M182+M189</f>
        <v>241380.03839137088</v>
      </c>
      <c r="N144" s="96"/>
      <c r="O144" s="18"/>
      <c r="P144" s="156"/>
      <c r="Q144" s="202"/>
    </row>
    <row r="145" spans="1:17" ht="12.95" customHeight="1" x14ac:dyDescent="0.25">
      <c r="A145" s="18" t="s">
        <v>7</v>
      </c>
      <c r="B145" s="22">
        <f>B146+B150+B156+B158+B162+B164+B173+B178</f>
        <v>105328.09431263348</v>
      </c>
      <c r="C145" s="22">
        <f>C146+C150+C156+C158+C162+C164+C173+C178</f>
        <v>100</v>
      </c>
      <c r="D145" s="22"/>
      <c r="E145" s="22">
        <f>E146+E150+E156+E158+E162+E164+E173+E178</f>
        <v>109450.95161677353</v>
      </c>
      <c r="F145" s="22">
        <f>F146+F150+F156+F158+F162+F164+F173+F178</f>
        <v>0</v>
      </c>
      <c r="G145" s="22">
        <f>G146+G150+G156+G158+G162+G164+G173+G178</f>
        <v>100</v>
      </c>
      <c r="H145" s="22"/>
      <c r="I145" s="22">
        <f>I146+I150+I156+I158+I162+I164+I173+I178</f>
        <v>118568.30103750604</v>
      </c>
      <c r="K145" s="22">
        <f>K146+K150+K156+K158+K162+K164+K173+K178</f>
        <v>100.00000000000001</v>
      </c>
      <c r="L145" s="22"/>
      <c r="M145" s="22">
        <f>M146+M150+M156+M158+M162+M164+M173+M178</f>
        <v>138384.31284654437</v>
      </c>
      <c r="N145" s="22">
        <f>N146+N150+N156+N158+N162+N164+N173+N178</f>
        <v>99.999999999999986</v>
      </c>
      <c r="O145" s="80"/>
      <c r="P145" s="156"/>
      <c r="Q145" s="183"/>
    </row>
    <row r="146" spans="1:17" ht="12.95" customHeight="1" x14ac:dyDescent="0.25">
      <c r="A146" s="148" t="s">
        <v>8</v>
      </c>
      <c r="B146" s="161">
        <f>B147+B148+B149</f>
        <v>17534.625802306498</v>
      </c>
      <c r="C146" s="25">
        <f t="shared" ref="C146:C154" si="52">(B146/$B$145)*100</f>
        <v>16.647624659628278</v>
      </c>
      <c r="D146" s="132"/>
      <c r="E146" s="161">
        <f>SUM(E147:E149)</f>
        <v>21286.505829216414</v>
      </c>
      <c r="G146" s="25">
        <f t="shared" ref="G146:G154" si="53">(E146/$E$145)*100</f>
        <v>19.448442900476547</v>
      </c>
      <c r="I146" s="161">
        <f>SUM(I147:I149)</f>
        <v>20832.082025359137</v>
      </c>
      <c r="K146" s="25">
        <f t="shared" ref="K146:K154" si="54">(I146/$I$145)*100</f>
        <v>17.569689236560322</v>
      </c>
      <c r="L146" s="25"/>
      <c r="M146" s="161">
        <f>SUM(M147:M149)</f>
        <v>21176.020865977491</v>
      </c>
      <c r="N146" s="25">
        <f t="shared" ref="N146:N151" si="55">(M146/$M$145)*100</f>
        <v>15.302327576290944</v>
      </c>
      <c r="O146" s="19"/>
      <c r="P146" s="155"/>
      <c r="Q146" s="202"/>
    </row>
    <row r="147" spans="1:17" ht="12" customHeight="1" x14ac:dyDescent="0.25">
      <c r="A147" s="30" t="s">
        <v>9</v>
      </c>
      <c r="B147" s="155">
        <v>16662.578219434148</v>
      </c>
      <c r="C147" s="32">
        <f t="shared" si="52"/>
        <v>15.819690205327841</v>
      </c>
      <c r="D147" s="133"/>
      <c r="E147" s="155">
        <v>20284.902871692761</v>
      </c>
      <c r="G147" s="32">
        <f t="shared" si="53"/>
        <v>18.533327094968875</v>
      </c>
      <c r="I147" s="155">
        <v>20078.133607682459</v>
      </c>
      <c r="K147" s="32">
        <f t="shared" si="54"/>
        <v>16.933812352874362</v>
      </c>
      <c r="M147" s="155">
        <v>20336.239639820022</v>
      </c>
      <c r="N147" s="32">
        <f t="shared" si="55"/>
        <v>14.695480449703185</v>
      </c>
      <c r="O147" s="82"/>
      <c r="P147" s="155"/>
      <c r="Q147" s="183"/>
    </row>
    <row r="148" spans="1:17" ht="12" customHeight="1" x14ac:dyDescent="0.25">
      <c r="A148" s="30" t="s">
        <v>10</v>
      </c>
      <c r="B148" s="155">
        <v>788.10659289914486</v>
      </c>
      <c r="C148" s="32">
        <f t="shared" si="52"/>
        <v>0.74823967721270757</v>
      </c>
      <c r="D148" s="133"/>
      <c r="E148" s="155">
        <v>878.42165129160446</v>
      </c>
      <c r="G148" s="32">
        <f t="shared" si="53"/>
        <v>0.80257104969472459</v>
      </c>
      <c r="I148" s="155">
        <v>703.5350833006604</v>
      </c>
      <c r="K148" s="32">
        <f t="shared" si="54"/>
        <v>0.59335849223150727</v>
      </c>
      <c r="M148" s="155">
        <v>780.48686042270799</v>
      </c>
      <c r="N148" s="32">
        <f t="shared" si="55"/>
        <v>0.56399952015384647</v>
      </c>
      <c r="O148" s="1"/>
      <c r="P148" s="155"/>
      <c r="Q148" s="202"/>
    </row>
    <row r="149" spans="1:17" ht="12" customHeight="1" x14ac:dyDescent="0.25">
      <c r="A149" s="20" t="s">
        <v>65</v>
      </c>
      <c r="B149" s="155">
        <v>83.940989973205831</v>
      </c>
      <c r="C149" s="32">
        <f t="shared" si="52"/>
        <v>7.9694777087728638E-2</v>
      </c>
      <c r="D149" s="32"/>
      <c r="E149" s="155">
        <v>123.18130623204901</v>
      </c>
      <c r="F149" s="32"/>
      <c r="G149" s="32">
        <f>(E149/$E$145)*100</f>
        <v>0.11254475581295108</v>
      </c>
      <c r="H149" s="32"/>
      <c r="I149" s="155">
        <v>50.413334376017914</v>
      </c>
      <c r="K149" s="32">
        <f t="shared" si="54"/>
        <v>4.2518391454450334E-2</v>
      </c>
      <c r="M149" s="155">
        <v>59.294365734761705</v>
      </c>
      <c r="N149" s="32">
        <f t="shared" si="55"/>
        <v>4.2847606433912611E-2</v>
      </c>
      <c r="O149" s="32"/>
      <c r="P149" s="155"/>
      <c r="Q149" s="183"/>
    </row>
    <row r="150" spans="1:17" ht="23.25" customHeight="1" x14ac:dyDescent="0.25">
      <c r="A150" s="149" t="s">
        <v>11</v>
      </c>
      <c r="B150" s="158">
        <f>B151+B152+B153+B154</f>
        <v>19479.28292364267</v>
      </c>
      <c r="C150" s="38">
        <f t="shared" si="52"/>
        <v>18.493909958936992</v>
      </c>
      <c r="D150" s="135"/>
      <c r="E150" s="158">
        <f>E151+E152+E153+E154</f>
        <v>19109.17441181578</v>
      </c>
      <c r="G150" s="38">
        <f t="shared" si="53"/>
        <v>17.459121304603869</v>
      </c>
      <c r="I150" s="158">
        <f>I151+I152+I153+I154</f>
        <v>22742.804288110965</v>
      </c>
      <c r="K150" s="38">
        <f t="shared" si="54"/>
        <v>19.181184253383933</v>
      </c>
      <c r="M150" s="158">
        <f>M151+M152+M153+M154</f>
        <v>31730.661381222264</v>
      </c>
      <c r="N150" s="38">
        <f t="shared" si="55"/>
        <v>22.929377418962716</v>
      </c>
      <c r="O150" s="99"/>
      <c r="P150" s="155"/>
      <c r="Q150" s="202"/>
    </row>
    <row r="151" spans="1:17" ht="12" customHeight="1" x14ac:dyDescent="0.25">
      <c r="A151" s="30" t="s">
        <v>12</v>
      </c>
      <c r="B151" s="155">
        <v>8268.006037780302</v>
      </c>
      <c r="C151" s="32">
        <f t="shared" si="52"/>
        <v>7.8497632485776441</v>
      </c>
      <c r="D151" s="133"/>
      <c r="E151" s="155">
        <v>8618.2473064705155</v>
      </c>
      <c r="G151" s="32">
        <f t="shared" si="53"/>
        <v>7.8740725221339751</v>
      </c>
      <c r="I151" s="155">
        <v>9005.2726103785262</v>
      </c>
      <c r="K151" s="32">
        <f t="shared" si="54"/>
        <v>7.5950085575823003</v>
      </c>
      <c r="M151" s="155">
        <v>7648.1226362982616</v>
      </c>
      <c r="N151" s="32">
        <f t="shared" si="55"/>
        <v>5.5267266057673279</v>
      </c>
      <c r="O151" s="181"/>
      <c r="P151" s="155"/>
      <c r="Q151" s="183"/>
    </row>
    <row r="152" spans="1:17" ht="12" customHeight="1" x14ac:dyDescent="0.25">
      <c r="A152" s="30" t="s">
        <v>13</v>
      </c>
      <c r="B152" s="155">
        <v>1476.3377187366311</v>
      </c>
      <c r="C152" s="32">
        <f t="shared" si="52"/>
        <v>1.4016561567653401</v>
      </c>
      <c r="D152" s="133"/>
      <c r="E152" s="155">
        <v>1534.6294339621363</v>
      </c>
      <c r="G152" s="32">
        <f t="shared" si="53"/>
        <v>1.4021161180356079</v>
      </c>
      <c r="I152" s="155">
        <v>2073.718474431153</v>
      </c>
      <c r="K152" s="32">
        <f t="shared" si="54"/>
        <v>1.7489653273982437</v>
      </c>
      <c r="M152" s="155">
        <v>3498.221888032926</v>
      </c>
      <c r="N152" s="32">
        <f t="shared" ref="N152:N154" si="56">(M152/$M$145)*100</f>
        <v>2.5279035000969627</v>
      </c>
      <c r="O152" s="1"/>
      <c r="P152" s="155"/>
      <c r="Q152" s="183"/>
    </row>
    <row r="153" spans="1:17" ht="12" customHeight="1" x14ac:dyDescent="0.25">
      <c r="A153" s="30" t="s">
        <v>14</v>
      </c>
      <c r="B153" s="155">
        <v>4505.4800381925579</v>
      </c>
      <c r="C153" s="32">
        <f t="shared" si="52"/>
        <v>4.2775672223020109</v>
      </c>
      <c r="D153" s="133"/>
      <c r="E153" s="155">
        <v>2942.7335948571817</v>
      </c>
      <c r="G153" s="32">
        <f t="shared" si="53"/>
        <v>2.6886322607415352</v>
      </c>
      <c r="I153" s="155">
        <v>2632.7397024226857</v>
      </c>
      <c r="K153" s="32">
        <f t="shared" si="54"/>
        <v>2.2204414496838289</v>
      </c>
      <c r="M153" s="155">
        <v>1844.1340688324583</v>
      </c>
      <c r="N153" s="32">
        <f t="shared" si="56"/>
        <v>1.3326178602898693</v>
      </c>
      <c r="O153" s="1"/>
      <c r="P153" s="155"/>
      <c r="Q153" s="202"/>
    </row>
    <row r="154" spans="1:17" ht="12" customHeight="1" x14ac:dyDescent="0.25">
      <c r="A154" s="30" t="s">
        <v>15</v>
      </c>
      <c r="B154" s="155">
        <v>5229.4591289331802</v>
      </c>
      <c r="C154" s="32">
        <f t="shared" si="52"/>
        <v>4.9649233312919989</v>
      </c>
      <c r="D154" s="133"/>
      <c r="E154" s="155">
        <v>6013.564076525945</v>
      </c>
      <c r="G154" s="32">
        <f t="shared" si="53"/>
        <v>5.4943004036927503</v>
      </c>
      <c r="I154" s="155">
        <v>9031.0735008785996</v>
      </c>
      <c r="K154" s="32">
        <f t="shared" si="54"/>
        <v>7.6167689187195586</v>
      </c>
      <c r="M154" s="155">
        <v>18740.182788058617</v>
      </c>
      <c r="N154" s="32">
        <f t="shared" si="56"/>
        <v>13.542129452808554</v>
      </c>
      <c r="O154" s="1"/>
      <c r="P154" s="155"/>
      <c r="Q154" s="183"/>
    </row>
    <row r="155" spans="1:17" ht="3" customHeight="1" x14ac:dyDescent="0.25">
      <c r="A155" s="30"/>
      <c r="B155" s="157"/>
      <c r="C155" s="32"/>
      <c r="D155" s="133"/>
      <c r="E155" s="2"/>
      <c r="G155" s="25"/>
      <c r="I155" s="4"/>
      <c r="K155" s="25"/>
      <c r="O155" s="1"/>
      <c r="P155" s="155"/>
      <c r="Q155" s="183"/>
    </row>
    <row r="156" spans="1:17" ht="12.95" customHeight="1" x14ac:dyDescent="0.25">
      <c r="A156" s="148" t="s">
        <v>16</v>
      </c>
      <c r="B156" s="158">
        <f>B157</f>
        <v>616.80998011869883</v>
      </c>
      <c r="C156" s="25">
        <f>C157</f>
        <v>0.58560822176075022</v>
      </c>
      <c r="D156" s="132"/>
      <c r="E156" s="161">
        <f>E157</f>
        <v>828.80330883062936</v>
      </c>
      <c r="G156" s="25">
        <f>(E156/$E$145)*100</f>
        <v>0.75723718851944088</v>
      </c>
      <c r="I156" s="161">
        <f>I157</f>
        <v>791.50546303223803</v>
      </c>
      <c r="K156" s="25">
        <f>(I156/$I$145)*100</f>
        <v>0.66755233574770168</v>
      </c>
      <c r="M156" s="161">
        <f>M157</f>
        <v>941.66411158551534</v>
      </c>
      <c r="N156" s="38">
        <f>(M156/$M$145)*100</f>
        <v>0.68047027312245667</v>
      </c>
      <c r="O156" s="1"/>
      <c r="P156" s="155"/>
      <c r="Q156" s="183"/>
    </row>
    <row r="157" spans="1:17" ht="12" customHeight="1" x14ac:dyDescent="0.25">
      <c r="A157" s="30" t="s">
        <v>18</v>
      </c>
      <c r="B157" s="155">
        <v>616.80998011869883</v>
      </c>
      <c r="C157" s="32">
        <f>B157/B145*100</f>
        <v>0.58560822176075022</v>
      </c>
      <c r="D157" s="133"/>
      <c r="E157" s="155">
        <v>828.80330883062936</v>
      </c>
      <c r="G157" s="32">
        <f>(E157/$E$145)*100</f>
        <v>0.75723718851944088</v>
      </c>
      <c r="I157" s="155">
        <v>791.50546303223803</v>
      </c>
      <c r="K157" s="32">
        <f>(I157/$I$145)*100</f>
        <v>0.66755233574770168</v>
      </c>
      <c r="M157" s="155">
        <v>941.66411158551534</v>
      </c>
      <c r="N157" s="32">
        <f t="shared" ref="N157" si="57">(M157/$M$145)*100</f>
        <v>0.68047027312245667</v>
      </c>
      <c r="O157" s="82"/>
      <c r="P157" s="155"/>
      <c r="Q157" s="183"/>
    </row>
    <row r="158" spans="1:17" ht="12.95" customHeight="1" x14ac:dyDescent="0.25">
      <c r="A158" s="148" t="s">
        <v>21</v>
      </c>
      <c r="B158" s="158">
        <f>B159+B160</f>
        <v>3124.1282482759652</v>
      </c>
      <c r="C158" s="25">
        <f>(B158/$B$145)*100</f>
        <v>2.9660920656201837</v>
      </c>
      <c r="D158" s="132"/>
      <c r="E158" s="161">
        <f>SUM(E159:E160)</f>
        <v>4436.6043241669258</v>
      </c>
      <c r="G158" s="25">
        <f>(E158/$E$145)*100</f>
        <v>4.0535091368607246</v>
      </c>
      <c r="I158" s="161">
        <f>SUM(I159:I160)</f>
        <v>4205.2598737899243</v>
      </c>
      <c r="K158" s="25">
        <f>(I158/$I$145)*100</f>
        <v>3.5466982633576727</v>
      </c>
      <c r="M158" s="161">
        <f>SUM(M159:M160)</f>
        <v>3533.3707097629331</v>
      </c>
      <c r="N158" s="25">
        <f>(M158/$M$145)*100</f>
        <v>2.5533029265254368</v>
      </c>
      <c r="O158" s="1"/>
      <c r="P158" s="155"/>
      <c r="Q158" s="202"/>
    </row>
    <row r="159" spans="1:17" ht="12" customHeight="1" x14ac:dyDescent="0.25">
      <c r="A159" s="30" t="s">
        <v>22</v>
      </c>
      <c r="B159" s="155">
        <v>2297.7726172847024</v>
      </c>
      <c r="C159" s="32">
        <f>(B159/$B$145)*100</f>
        <v>2.1815382042937981</v>
      </c>
      <c r="D159" s="133"/>
      <c r="E159" s="155">
        <v>3490.4781834401333</v>
      </c>
      <c r="G159" s="32">
        <f>(E159/$E$145)*100</f>
        <v>3.1890797949948682</v>
      </c>
      <c r="I159" s="155">
        <v>3331.068810563595</v>
      </c>
      <c r="K159" s="32">
        <f>(I159/$I$145)*100</f>
        <v>2.8094092446427963</v>
      </c>
      <c r="M159" s="155">
        <v>2810.38562838188</v>
      </c>
      <c r="N159" s="32">
        <f t="shared" ref="N159:N160" si="58">(M159/$M$145)*100</f>
        <v>2.03085564438098</v>
      </c>
      <c r="O159" s="82"/>
      <c r="P159" s="155"/>
      <c r="Q159" s="183"/>
    </row>
    <row r="160" spans="1:17" ht="12" customHeight="1" x14ac:dyDescent="0.25">
      <c r="A160" s="30" t="s">
        <v>23</v>
      </c>
      <c r="B160" s="155">
        <v>826.35563099126284</v>
      </c>
      <c r="C160" s="32">
        <f>(B160/$B$145)*100</f>
        <v>0.78455386132638538</v>
      </c>
      <c r="D160" s="133"/>
      <c r="E160" s="155">
        <v>946.12614072679253</v>
      </c>
      <c r="G160" s="32">
        <f>(E160/$E$145)*100</f>
        <v>0.86442934186585652</v>
      </c>
      <c r="I160" s="155">
        <v>874.19106322632899</v>
      </c>
      <c r="K160" s="32">
        <f>(I160/$I$145)*100</f>
        <v>0.7372890187148764</v>
      </c>
      <c r="M160" s="155">
        <v>722.98508138105308</v>
      </c>
      <c r="N160" s="32">
        <f t="shared" si="58"/>
        <v>0.52244728214445646</v>
      </c>
      <c r="O160" s="1"/>
      <c r="P160" s="155"/>
      <c r="Q160" s="183"/>
    </row>
    <row r="161" spans="1:17" ht="12" customHeight="1" x14ac:dyDescent="0.25">
      <c r="A161" s="30" t="s">
        <v>24</v>
      </c>
      <c r="B161" s="155" t="s">
        <v>95</v>
      </c>
      <c r="C161" s="155" t="s">
        <v>95</v>
      </c>
      <c r="D161" s="133"/>
      <c r="E161" s="155" t="s">
        <v>95</v>
      </c>
      <c r="G161" s="155" t="s">
        <v>95</v>
      </c>
      <c r="I161" s="155" t="s">
        <v>95</v>
      </c>
      <c r="K161" s="155" t="s">
        <v>95</v>
      </c>
      <c r="M161" s="155" t="s">
        <v>95</v>
      </c>
      <c r="N161" s="155" t="s">
        <v>95</v>
      </c>
      <c r="O161" s="1"/>
      <c r="P161" s="155"/>
      <c r="Q161" s="183"/>
    </row>
    <row r="162" spans="1:17" ht="12.95" customHeight="1" x14ac:dyDescent="0.25">
      <c r="A162" s="149" t="s">
        <v>25</v>
      </c>
      <c r="B162" s="158">
        <v>17201.741687574184</v>
      </c>
      <c r="C162" s="38">
        <f>(B162/$B$145)*100</f>
        <v>16.331579717483731</v>
      </c>
      <c r="D162" s="135"/>
      <c r="E162" s="158">
        <v>17062.530183214461</v>
      </c>
      <c r="G162" s="38">
        <f>(E162/$E$145)*100</f>
        <v>15.589202223619225</v>
      </c>
      <c r="I162" s="158">
        <v>15462.711092735468</v>
      </c>
      <c r="K162" s="38">
        <f>(I162/$I$145)*100</f>
        <v>13.041184665237157</v>
      </c>
      <c r="M162" s="158">
        <v>15462.711092735468</v>
      </c>
      <c r="N162" s="25">
        <f>(M162/$M$145)*100</f>
        <v>11.17374561803274</v>
      </c>
      <c r="O162" s="1"/>
      <c r="P162" s="211"/>
      <c r="Q162" s="183"/>
    </row>
    <row r="163" spans="1:17" ht="1.5" customHeight="1" x14ac:dyDescent="0.25">
      <c r="A163" s="149"/>
      <c r="B163" s="158"/>
      <c r="C163" s="38"/>
      <c r="D163" s="135"/>
      <c r="E163" s="158"/>
      <c r="G163" s="38"/>
      <c r="I163" s="212"/>
      <c r="K163" s="38"/>
      <c r="M163" s="158"/>
      <c r="O163" s="1"/>
      <c r="P163" s="211"/>
      <c r="Q163" s="183"/>
    </row>
    <row r="164" spans="1:17" ht="12.95" customHeight="1" x14ac:dyDescent="0.25">
      <c r="A164" s="148" t="s">
        <v>34</v>
      </c>
      <c r="B164" s="158">
        <f>SUM(B165:B172)</f>
        <v>22226.168988018126</v>
      </c>
      <c r="C164" s="38">
        <f t="shared" ref="C164:C172" si="59">(B164/$B$145)*100</f>
        <v>21.101842896774244</v>
      </c>
      <c r="D164" s="158">
        <f t="shared" ref="D164:H164" si="60">SUM(D165:D172)</f>
        <v>0</v>
      </c>
      <c r="E164" s="158">
        <f>SUM(E165:E172)</f>
        <v>22941.434949541828</v>
      </c>
      <c r="F164" s="158">
        <f>SUM(F165:F172)</f>
        <v>0</v>
      </c>
      <c r="G164" s="38">
        <f>SUM(G165:G172)</f>
        <v>20.960470978697295</v>
      </c>
      <c r="H164" s="158">
        <f t="shared" si="60"/>
        <v>0</v>
      </c>
      <c r="I164" s="158">
        <f>SUM(I165:I172)</f>
        <v>28440.414371089006</v>
      </c>
      <c r="K164" s="38">
        <f>SUM(K165:K172)</f>
        <v>23.986524325833606</v>
      </c>
      <c r="M164" s="158">
        <f>SUM(M165:M172)</f>
        <v>34467.948187063819</v>
      </c>
      <c r="N164" s="38">
        <f>(M164/$M$145)*100</f>
        <v>24.907410007726554</v>
      </c>
      <c r="O164" s="1"/>
      <c r="P164" s="155"/>
      <c r="Q164" s="183"/>
    </row>
    <row r="165" spans="1:17" ht="12" customHeight="1" x14ac:dyDescent="0.25">
      <c r="A165" s="30" t="s">
        <v>35</v>
      </c>
      <c r="B165" s="155">
        <v>6162.1243949565605</v>
      </c>
      <c r="C165" s="32">
        <f t="shared" si="59"/>
        <v>5.8504090814234457</v>
      </c>
      <c r="D165" s="133"/>
      <c r="E165" s="155">
        <v>6471.7103068342576</v>
      </c>
      <c r="G165" s="32">
        <f t="shared" ref="G165:G172" si="61">(E165/$E$145)*100</f>
        <v>5.9128862848940802</v>
      </c>
      <c r="I165" s="155">
        <v>6914.32992985286</v>
      </c>
      <c r="K165" s="32">
        <f t="shared" ref="K165:K172" si="62">(I165/$I$145)*100</f>
        <v>5.8315164081381994</v>
      </c>
      <c r="M165" s="155">
        <v>8387.4852920912872</v>
      </c>
      <c r="N165" s="32">
        <f t="shared" ref="N165:N172" si="63">(M165/$M$145)*100</f>
        <v>6.0610087368734096</v>
      </c>
      <c r="O165" s="82"/>
      <c r="P165" s="155"/>
      <c r="Q165" s="183"/>
    </row>
    <row r="166" spans="1:17" ht="12" customHeight="1" x14ac:dyDescent="0.25">
      <c r="A166" s="30" t="s">
        <v>37</v>
      </c>
      <c r="B166" s="155">
        <v>3740.0102300246158</v>
      </c>
      <c r="C166" s="32">
        <f t="shared" si="59"/>
        <v>3.550819232448625</v>
      </c>
      <c r="D166" s="133"/>
      <c r="E166" s="155">
        <v>3810.1456478747345</v>
      </c>
      <c r="G166" s="32">
        <f t="shared" si="61"/>
        <v>3.4811443770862782</v>
      </c>
      <c r="I166" s="155">
        <v>4476.5575053082193</v>
      </c>
      <c r="K166" s="32">
        <f t="shared" si="62"/>
        <v>3.7755095300658605</v>
      </c>
      <c r="M166" s="155">
        <v>5109.4667008912056</v>
      </c>
      <c r="N166" s="32">
        <f t="shared" si="63"/>
        <v>3.6922297013225336</v>
      </c>
      <c r="O166" s="63"/>
      <c r="P166" s="155"/>
      <c r="Q166" s="183"/>
    </row>
    <row r="167" spans="1:17" ht="12" customHeight="1" x14ac:dyDescent="0.25">
      <c r="A167" s="30" t="s">
        <v>38</v>
      </c>
      <c r="B167" s="155">
        <v>532.25673618232975</v>
      </c>
      <c r="C167" s="32">
        <f t="shared" si="59"/>
        <v>0.50533216199895559</v>
      </c>
      <c r="D167" s="133"/>
      <c r="E167" s="155">
        <v>668.32940448045213</v>
      </c>
      <c r="G167" s="32">
        <f t="shared" si="61"/>
        <v>0.61062000339705558</v>
      </c>
      <c r="I167" s="155">
        <v>986.02998719333505</v>
      </c>
      <c r="K167" s="32">
        <f t="shared" si="62"/>
        <v>0.83161349076042657</v>
      </c>
      <c r="M167" s="155">
        <v>1120.1586062076217</v>
      </c>
      <c r="N167" s="32">
        <f t="shared" si="63"/>
        <v>0.80945490364198702</v>
      </c>
      <c r="O167" s="1"/>
      <c r="P167" s="155"/>
      <c r="Q167" s="183"/>
    </row>
    <row r="168" spans="1:17" ht="12" customHeight="1" x14ac:dyDescent="0.25">
      <c r="A168" s="20" t="s">
        <v>39</v>
      </c>
      <c r="B168" s="155">
        <v>1743.1411047343659</v>
      </c>
      <c r="C168" s="32">
        <f t="shared" si="59"/>
        <v>1.6549631094249149</v>
      </c>
      <c r="D168" s="134"/>
      <c r="E168" s="155">
        <v>3484.8465491414167</v>
      </c>
      <c r="G168" s="32">
        <f t="shared" si="61"/>
        <v>3.1839344452144154</v>
      </c>
      <c r="I168" s="155">
        <v>4303.8674524488843</v>
      </c>
      <c r="K168" s="32">
        <f t="shared" si="62"/>
        <v>3.6298634751352856</v>
      </c>
      <c r="M168" s="155">
        <v>5802.6121353836006</v>
      </c>
      <c r="N168" s="32">
        <f t="shared" si="63"/>
        <v>4.1931141008866879</v>
      </c>
      <c r="O168" s="1"/>
      <c r="P168" s="155"/>
      <c r="Q168" s="183"/>
    </row>
    <row r="169" spans="1:17" ht="12" customHeight="1" x14ac:dyDescent="0.25">
      <c r="A169" s="30" t="s">
        <v>40</v>
      </c>
      <c r="B169" s="155">
        <v>4498.75834960477</v>
      </c>
      <c r="C169" s="32">
        <f t="shared" si="59"/>
        <v>4.2711855549684721</v>
      </c>
      <c r="D169" s="133"/>
      <c r="E169" s="155">
        <v>1862.1461244337634</v>
      </c>
      <c r="G169" s="32">
        <f t="shared" si="61"/>
        <v>1.7013521553963233</v>
      </c>
      <c r="I169" s="155">
        <v>2953.2677394600487</v>
      </c>
      <c r="K169" s="32">
        <f t="shared" si="62"/>
        <v>2.4907734306877334</v>
      </c>
      <c r="M169" s="155">
        <v>3981.4986509463879</v>
      </c>
      <c r="N169" s="32">
        <f t="shared" si="63"/>
        <v>2.8771314963723582</v>
      </c>
      <c r="O169" s="99"/>
      <c r="P169" s="155"/>
      <c r="Q169" s="183"/>
    </row>
    <row r="170" spans="1:17" ht="12" customHeight="1" x14ac:dyDescent="0.25">
      <c r="A170" s="30" t="s">
        <v>41</v>
      </c>
      <c r="B170" s="155">
        <v>2379.777621373119</v>
      </c>
      <c r="C170" s="32">
        <f t="shared" si="59"/>
        <v>2.2593949286782822</v>
      </c>
      <c r="D170" s="133"/>
      <c r="E170" s="155">
        <v>3300.3472061155348</v>
      </c>
      <c r="G170" s="32">
        <f t="shared" si="61"/>
        <v>3.0153663877416226</v>
      </c>
      <c r="I170" s="155">
        <v>3947.8365190189716</v>
      </c>
      <c r="K170" s="32">
        <f t="shared" si="62"/>
        <v>3.329588502554468</v>
      </c>
      <c r="M170" s="155">
        <v>5043.2039853170372</v>
      </c>
      <c r="N170" s="32">
        <f t="shared" si="63"/>
        <v>3.6443465892766995</v>
      </c>
      <c r="O170" s="1"/>
      <c r="P170" s="155"/>
      <c r="Q170" s="183"/>
    </row>
    <row r="171" spans="1:17" ht="12" customHeight="1" x14ac:dyDescent="0.25">
      <c r="A171" s="30" t="s">
        <v>111</v>
      </c>
      <c r="B171" s="155">
        <v>2479.2418288696708</v>
      </c>
      <c r="C171" s="32">
        <f t="shared" si="59"/>
        <v>2.353827670622064</v>
      </c>
      <c r="D171" s="133"/>
      <c r="E171" s="155">
        <v>2683.7855801818478</v>
      </c>
      <c r="G171" s="32">
        <f t="shared" si="61"/>
        <v>2.4520440805108117</v>
      </c>
      <c r="I171" s="155">
        <v>3941.6393193075287</v>
      </c>
      <c r="K171" s="32">
        <f t="shared" si="62"/>
        <v>3.3243618107175985</v>
      </c>
      <c r="M171" s="155">
        <v>3941.6393193075287</v>
      </c>
      <c r="N171" s="32">
        <f t="shared" si="63"/>
        <v>2.848328136497992</v>
      </c>
      <c r="O171" s="1"/>
      <c r="P171" s="155"/>
      <c r="Q171" s="183"/>
    </row>
    <row r="172" spans="1:17" ht="12" customHeight="1" x14ac:dyDescent="0.25">
      <c r="A172" s="20" t="s">
        <v>42</v>
      </c>
      <c r="B172" s="156">
        <v>690.85872227269112</v>
      </c>
      <c r="C172" s="32">
        <f t="shared" si="59"/>
        <v>0.65591115720948423</v>
      </c>
      <c r="D172" s="134"/>
      <c r="E172" s="155">
        <v>660.12413047982272</v>
      </c>
      <c r="G172" s="32">
        <f t="shared" si="61"/>
        <v>0.60312324445670484</v>
      </c>
      <c r="I172" s="155">
        <v>916.88591849915997</v>
      </c>
      <c r="K172" s="32">
        <f t="shared" si="62"/>
        <v>0.77329767777403391</v>
      </c>
      <c r="M172" s="155">
        <v>1081.8834969191505</v>
      </c>
      <c r="N172" s="32">
        <f t="shared" si="63"/>
        <v>0.78179634285488775</v>
      </c>
      <c r="O172" s="1"/>
      <c r="P172" s="155"/>
      <c r="Q172" s="183"/>
    </row>
    <row r="173" spans="1:17" ht="12" customHeight="1" x14ac:dyDescent="0.25">
      <c r="A173" s="148" t="s">
        <v>112</v>
      </c>
      <c r="B173" s="161">
        <f>B175+B176+B177</f>
        <v>13970.8859029991</v>
      </c>
      <c r="C173" s="25">
        <f>C175+C177+C176</f>
        <v>13.264159001615372</v>
      </c>
      <c r="D173" s="161">
        <f>D175+D177</f>
        <v>0</v>
      </c>
      <c r="E173" s="161">
        <f>E175+E176+E177</f>
        <v>11674.612253991634</v>
      </c>
      <c r="F173" s="161">
        <f>F175+F176+F177</f>
        <v>0</v>
      </c>
      <c r="G173" s="25">
        <f>G175+G176+G177</f>
        <v>10.666524211565175</v>
      </c>
      <c r="H173" s="161">
        <f>H175+H177</f>
        <v>0</v>
      </c>
      <c r="I173" s="161">
        <f>I175+I176+I177</f>
        <v>12087.843370482035</v>
      </c>
      <c r="J173" s="97"/>
      <c r="K173" s="25">
        <f>K175+K176+K177</f>
        <v>10.194835605056326</v>
      </c>
      <c r="M173" s="161">
        <f>M175+M176+M177</f>
        <v>14000.450518216774</v>
      </c>
      <c r="N173" s="38">
        <f>(M173/$M$145)*100</f>
        <v>10.117079190718677</v>
      </c>
      <c r="O173" s="99"/>
      <c r="P173" s="155"/>
      <c r="Q173" s="183"/>
    </row>
    <row r="174" spans="1:17" ht="1.5" customHeight="1" x14ac:dyDescent="0.25">
      <c r="A174" s="30" t="s">
        <v>43</v>
      </c>
      <c r="B174" s="155">
        <v>5223.344682075598</v>
      </c>
      <c r="C174" s="22">
        <v>6.8470528535480915</v>
      </c>
      <c r="D174" s="30"/>
      <c r="E174" s="155">
        <v>5987.2175519487573</v>
      </c>
      <c r="G174" s="25">
        <v>6.987615202062301</v>
      </c>
      <c r="I174" s="4">
        <v>7327.7469238331596</v>
      </c>
      <c r="K174" s="25">
        <v>8.2195559025212575</v>
      </c>
      <c r="O174" s="1"/>
      <c r="P174" s="155"/>
      <c r="Q174" s="183"/>
    </row>
    <row r="175" spans="1:17" ht="12.95" customHeight="1" x14ac:dyDescent="0.25">
      <c r="A175" s="205" t="s">
        <v>44</v>
      </c>
      <c r="B175" s="182">
        <v>6257.557800852499</v>
      </c>
      <c r="C175" s="32">
        <f>(B175/$B$145)*100</f>
        <v>5.9410149226462767</v>
      </c>
      <c r="D175" s="153"/>
      <c r="E175" s="155">
        <v>4428.5822206617895</v>
      </c>
      <c r="G175" s="32">
        <f>(E175/$E$145)*100</f>
        <v>4.0461797318746227</v>
      </c>
      <c r="I175" s="155">
        <v>4093.3983905186428</v>
      </c>
      <c r="K175" s="32">
        <f>(I175/$I$145)*100</f>
        <v>3.4523547648909982</v>
      </c>
      <c r="M175" s="155">
        <v>6006.0055382533819</v>
      </c>
      <c r="N175" s="32">
        <f>(M175/$M$145)*100</f>
        <v>4.3400913114432962</v>
      </c>
      <c r="O175" s="1"/>
      <c r="P175" s="155"/>
      <c r="Q175" s="202"/>
    </row>
    <row r="176" spans="1:17" ht="12.95" customHeight="1" x14ac:dyDescent="0.25">
      <c r="A176" s="205" t="s">
        <v>113</v>
      </c>
      <c r="B176" s="159">
        <v>1631.4144651473639</v>
      </c>
      <c r="C176" s="58">
        <f>(B176/$B$145)*100</f>
        <v>1.5488882389773622</v>
      </c>
      <c r="D176" s="153"/>
      <c r="E176" s="156">
        <v>1724.909103767817</v>
      </c>
      <c r="F176" s="4"/>
      <c r="G176" s="58">
        <f>(E176/$E$145)*100</f>
        <v>1.5759653783617464</v>
      </c>
      <c r="H176" s="4"/>
      <c r="I176" s="156">
        <v>1790.9942615981238</v>
      </c>
      <c r="K176" s="58">
        <f>(I176/$I$145)*100</f>
        <v>1.5105169306858741</v>
      </c>
      <c r="M176" s="155">
        <v>1790.9942615981238</v>
      </c>
      <c r="N176" s="32">
        <f>(M176/$M$145)*100</f>
        <v>1.2942176932902603</v>
      </c>
      <c r="O176" s="1"/>
      <c r="P176" s="155"/>
      <c r="Q176" s="183"/>
    </row>
    <row r="177" spans="1:17" ht="12" customHeight="1" x14ac:dyDescent="0.25">
      <c r="A177" s="30" t="s">
        <v>47</v>
      </c>
      <c r="B177" s="182">
        <v>6081.9136369992375</v>
      </c>
      <c r="C177" s="58">
        <f>(B177/$B$145)*100</f>
        <v>5.7742558399917323</v>
      </c>
      <c r="D177" s="133"/>
      <c r="E177" s="155">
        <v>5521.1209295620274</v>
      </c>
      <c r="G177" s="58">
        <f>(E177/$E$145)*100</f>
        <v>5.0443791013288068</v>
      </c>
      <c r="I177" s="155">
        <v>6203.4507183652677</v>
      </c>
      <c r="K177" s="58">
        <f>(I177/$I$145)*100</f>
        <v>5.231963909479453</v>
      </c>
      <c r="M177" s="155">
        <v>6203.4507183652677</v>
      </c>
      <c r="N177" s="32">
        <f>(M177/$M$145)*100</f>
        <v>4.4827701859851201</v>
      </c>
      <c r="O177" s="82"/>
      <c r="P177" s="155"/>
      <c r="Q177" s="183"/>
    </row>
    <row r="178" spans="1:17" ht="12" customHeight="1" x14ac:dyDescent="0.25">
      <c r="A178" s="204" t="s">
        <v>48</v>
      </c>
      <c r="B178" s="97">
        <f>B179</f>
        <v>11174.450779698238</v>
      </c>
      <c r="C178" s="26">
        <f>C179</f>
        <v>10.609183478180455</v>
      </c>
      <c r="D178" s="97">
        <f t="shared" ref="D178:H178" si="64">D179</f>
        <v>0</v>
      </c>
      <c r="E178" s="97">
        <f>E179</f>
        <v>12111.286355995851</v>
      </c>
      <c r="F178" s="97">
        <f>F179</f>
        <v>0</v>
      </c>
      <c r="G178" s="26">
        <f>G179</f>
        <v>11.065492055657721</v>
      </c>
      <c r="H178" s="97">
        <f t="shared" si="64"/>
        <v>0</v>
      </c>
      <c r="I178" s="97">
        <f>I179</f>
        <v>14005.680552907279</v>
      </c>
      <c r="K178" s="26">
        <f>K179</f>
        <v>11.812331314823295</v>
      </c>
      <c r="M178" s="97">
        <f>M179</f>
        <v>17071.485979980098</v>
      </c>
      <c r="N178" s="38">
        <f>(M178/$M$145)*100</f>
        <v>12.336286988620468</v>
      </c>
      <c r="O178" s="1"/>
      <c r="P178" s="155"/>
      <c r="Q178" s="183"/>
    </row>
    <row r="179" spans="1:17" ht="12" customHeight="1" x14ac:dyDescent="0.25">
      <c r="A179" s="30" t="s">
        <v>49</v>
      </c>
      <c r="B179" s="155">
        <v>11174.450779698238</v>
      </c>
      <c r="C179" s="32">
        <f>(B179/$B$145)*100</f>
        <v>10.609183478180455</v>
      </c>
      <c r="D179" s="133"/>
      <c r="E179" s="155">
        <v>12111.286355995851</v>
      </c>
      <c r="G179" s="32">
        <f>(E179/$E$145)*100</f>
        <v>11.065492055657721</v>
      </c>
      <c r="I179" s="155">
        <v>14005.680552907279</v>
      </c>
      <c r="K179" s="32">
        <f>(I179/$I$145)*100</f>
        <v>11.812331314823295</v>
      </c>
      <c r="M179" s="155">
        <v>17071.485979980098</v>
      </c>
      <c r="N179" s="32">
        <f>(M179/$M$145)*100</f>
        <v>12.336286988620468</v>
      </c>
      <c r="O179" s="50"/>
      <c r="P179" s="155"/>
      <c r="Q179" s="183"/>
    </row>
    <row r="180" spans="1:17" ht="38.25" customHeight="1" x14ac:dyDescent="0.25">
      <c r="A180" s="149" t="s">
        <v>78</v>
      </c>
      <c r="B180" s="158" t="s">
        <v>95</v>
      </c>
      <c r="C180" s="38" t="s">
        <v>95</v>
      </c>
      <c r="D180" s="207"/>
      <c r="E180" s="158" t="s">
        <v>95</v>
      </c>
      <c r="F180" s="166"/>
      <c r="G180" s="38" t="s">
        <v>95</v>
      </c>
      <c r="H180" s="166"/>
      <c r="I180" s="158" t="s">
        <v>95</v>
      </c>
      <c r="K180" s="38" t="s">
        <v>95</v>
      </c>
      <c r="M180" s="38" t="s">
        <v>95</v>
      </c>
      <c r="N180" s="38" t="s">
        <v>95</v>
      </c>
      <c r="O180" s="1"/>
      <c r="P180" s="155"/>
      <c r="Q180" s="183"/>
    </row>
    <row r="181" spans="1:17" ht="11.25" customHeight="1" x14ac:dyDescent="0.25">
      <c r="A181" s="216" t="s">
        <v>70</v>
      </c>
      <c r="B181" s="161" t="s">
        <v>95</v>
      </c>
      <c r="C181" s="25" t="s">
        <v>95</v>
      </c>
      <c r="D181" s="217"/>
      <c r="E181" s="161" t="s">
        <v>95</v>
      </c>
      <c r="F181" s="206"/>
      <c r="G181" s="25" t="s">
        <v>95</v>
      </c>
      <c r="H181" s="206"/>
      <c r="I181" s="161" t="s">
        <v>95</v>
      </c>
      <c r="J181" s="244"/>
      <c r="K181" s="25" t="s">
        <v>95</v>
      </c>
      <c r="M181" s="25" t="s">
        <v>95</v>
      </c>
      <c r="N181" s="25" t="s">
        <v>95</v>
      </c>
      <c r="O181" s="82">
        <f>O182</f>
        <v>0</v>
      </c>
      <c r="P181" s="155"/>
      <c r="Q181" s="183"/>
    </row>
    <row r="182" spans="1:17" ht="12" customHeight="1" x14ac:dyDescent="0.25">
      <c r="A182" s="104" t="s">
        <v>52</v>
      </c>
      <c r="B182" s="49">
        <f>B183+B184+B185+B186+B187</f>
        <v>79452.810010928602</v>
      </c>
      <c r="C182" s="49">
        <f>C183+C184+C185+C186+C187</f>
        <v>100</v>
      </c>
      <c r="D182" s="49">
        <f t="shared" ref="D182:H182" si="65">D183+D184+D185+D186+D187</f>
        <v>0</v>
      </c>
      <c r="E182" s="49">
        <f>E183+E184+E185+E186+E187</f>
        <v>82747.327726134448</v>
      </c>
      <c r="F182" s="49">
        <f>F183+F184+F185+F186+F187</f>
        <v>0</v>
      </c>
      <c r="G182" s="49">
        <f>G183+G184+G185+G186+G187</f>
        <v>100.00000000000001</v>
      </c>
      <c r="H182" s="49">
        <f t="shared" si="65"/>
        <v>0</v>
      </c>
      <c r="I182" s="49">
        <f>I183+I184+I185+I186+I187</f>
        <v>89612.808337392606</v>
      </c>
      <c r="J182" s="245"/>
      <c r="K182" s="49">
        <f>K183+K184+K185+K186+K187</f>
        <v>100.00000000000001</v>
      </c>
      <c r="M182" s="49">
        <f>M183+M184+M185+M186+M187</f>
        <v>97074.058725126626</v>
      </c>
      <c r="N182" s="49">
        <f>N183+N184+N185+N186+N187</f>
        <v>100</v>
      </c>
      <c r="O182" s="1"/>
      <c r="P182" s="213"/>
      <c r="Q182" s="183"/>
    </row>
    <row r="183" spans="1:17" ht="12" customHeight="1" x14ac:dyDescent="0.25">
      <c r="A183" s="20" t="s">
        <v>123</v>
      </c>
      <c r="B183" s="155">
        <v>20427.788647660989</v>
      </c>
      <c r="C183" s="32">
        <f>(B183/$B$182)*100</f>
        <v>25.710593048692903</v>
      </c>
      <c r="D183" s="155"/>
      <c r="E183" s="155">
        <v>22234.634341341411</v>
      </c>
      <c r="F183" s="155"/>
      <c r="G183" s="32">
        <f>(E183/$E$182)*100</f>
        <v>26.870516489584411</v>
      </c>
      <c r="I183" s="155">
        <v>24825.50059141179</v>
      </c>
      <c r="K183" s="32">
        <f>(I183/$I$182)*100</f>
        <v>27.703071750573503</v>
      </c>
      <c r="M183" s="155">
        <v>27167.568788085435</v>
      </c>
      <c r="N183" s="32">
        <f>(M183/$M$182)*100</f>
        <v>27.986435454411868</v>
      </c>
      <c r="O183" s="103"/>
      <c r="P183" s="155"/>
      <c r="Q183" s="202"/>
    </row>
    <row r="184" spans="1:17" s="166" customFormat="1" ht="15" customHeight="1" x14ac:dyDescent="0.25">
      <c r="A184" s="20" t="s">
        <v>124</v>
      </c>
      <c r="B184" s="155">
        <v>14340.555269823142</v>
      </c>
      <c r="C184" s="32">
        <f>(B184/$B$182)*100</f>
        <v>18.049148000996595</v>
      </c>
      <c r="D184" s="133"/>
      <c r="E184" s="155">
        <v>13001.565324986133</v>
      </c>
      <c r="F184" s="208"/>
      <c r="G184" s="32">
        <f>(E184/$E$182)*100</f>
        <v>15.712368824787792</v>
      </c>
      <c r="H184" s="209"/>
      <c r="I184" s="155">
        <v>12801.981779848877</v>
      </c>
      <c r="J184" s="176"/>
      <c r="K184" s="32">
        <f>(I184/$I$182)*100</f>
        <v>14.285883923701354</v>
      </c>
      <c r="M184" s="155">
        <v>13823.054570265116</v>
      </c>
      <c r="N184" s="32">
        <f t="shared" ref="N184:N187" si="66">(M184/$M$182)*100</f>
        <v>14.239699824858729</v>
      </c>
      <c r="O184" s="103"/>
      <c r="P184" s="155"/>
      <c r="Q184" s="183"/>
    </row>
    <row r="185" spans="1:17" ht="12" customHeight="1" x14ac:dyDescent="0.25">
      <c r="A185" s="30" t="s">
        <v>56</v>
      </c>
      <c r="B185" s="155">
        <v>18301.753197080769</v>
      </c>
      <c r="C185" s="32">
        <f>(B185/$B$182)*100</f>
        <v>23.034746278405251</v>
      </c>
      <c r="D185" s="133"/>
      <c r="E185" s="155">
        <v>20052.510047452852</v>
      </c>
      <c r="G185" s="32">
        <f>(E185/$E$182)*100</f>
        <v>24.233423118894969</v>
      </c>
      <c r="I185" s="155">
        <v>21917.603079302582</v>
      </c>
      <c r="K185" s="32">
        <f>(I185/$I$182)*100</f>
        <v>24.45811428739373</v>
      </c>
      <c r="M185" s="155">
        <v>23813.351030003741</v>
      </c>
      <c r="N185" s="32">
        <f t="shared" si="66"/>
        <v>24.53111711073424</v>
      </c>
      <c r="O185" s="19"/>
      <c r="P185" s="155"/>
      <c r="Q185" s="183"/>
    </row>
    <row r="186" spans="1:17" ht="12" customHeight="1" x14ac:dyDescent="0.25">
      <c r="A186" s="30" t="s">
        <v>57</v>
      </c>
      <c r="B186" s="155">
        <v>19940.886367056453</v>
      </c>
      <c r="C186" s="32">
        <f>(B186/$B$182)*100</f>
        <v>25.09777358952266</v>
      </c>
      <c r="D186" s="133"/>
      <c r="E186" s="155">
        <v>20906.35668625453</v>
      </c>
      <c r="G186" s="32">
        <f>(E186/$E$182)*100</f>
        <v>25.265295279924288</v>
      </c>
      <c r="I186" s="155">
        <v>23471.983211184088</v>
      </c>
      <c r="K186" s="32">
        <f>(I186/$I$182)*100</f>
        <v>26.19266558728075</v>
      </c>
      <c r="M186" s="155">
        <v>25574.035151616466</v>
      </c>
      <c r="N186" s="32">
        <f t="shared" si="66"/>
        <v>26.34487059414246</v>
      </c>
      <c r="O186" s="1"/>
      <c r="P186" s="155"/>
      <c r="Q186" s="183"/>
    </row>
    <row r="187" spans="1:17" ht="12" customHeight="1" x14ac:dyDescent="0.25">
      <c r="A187" s="30" t="s">
        <v>58</v>
      </c>
      <c r="B187" s="155">
        <v>6441.8265293072491</v>
      </c>
      <c r="C187" s="32">
        <f>(B187/$B$182)*100</f>
        <v>8.1077390823825954</v>
      </c>
      <c r="D187" s="133"/>
      <c r="E187" s="155">
        <v>6552.2613260995322</v>
      </c>
      <c r="G187" s="32">
        <f>(E187/$E$182)*100</f>
        <v>7.9183962868085507</v>
      </c>
      <c r="I187" s="155">
        <v>6595.7396756452817</v>
      </c>
      <c r="K187" s="32">
        <f>(I187/$I$182)*100</f>
        <v>7.3602644510506732</v>
      </c>
      <c r="M187" s="155">
        <v>6696.0491851558627</v>
      </c>
      <c r="N187" s="32">
        <f t="shared" si="66"/>
        <v>6.8978770158527007</v>
      </c>
      <c r="O187" s="1"/>
      <c r="P187" s="155"/>
      <c r="Q187" s="183"/>
    </row>
    <row r="188" spans="1:17" ht="12" customHeight="1" x14ac:dyDescent="0.25">
      <c r="A188" s="30" t="s">
        <v>79</v>
      </c>
      <c r="B188" s="155" t="s">
        <v>95</v>
      </c>
      <c r="C188" s="32" t="s">
        <v>95</v>
      </c>
      <c r="D188" s="133"/>
      <c r="E188" s="155" t="s">
        <v>95</v>
      </c>
      <c r="G188" s="32" t="s">
        <v>95</v>
      </c>
      <c r="I188" s="155" t="s">
        <v>95</v>
      </c>
      <c r="K188" s="32" t="s">
        <v>95</v>
      </c>
      <c r="M188" s="155" t="s">
        <v>95</v>
      </c>
      <c r="N188" s="32"/>
      <c r="O188" s="1"/>
      <c r="P188" s="155"/>
      <c r="Q188" s="183"/>
    </row>
    <row r="189" spans="1:17" ht="29.25" customHeight="1" x14ac:dyDescent="0.25">
      <c r="A189" s="254" t="s">
        <v>61</v>
      </c>
      <c r="B189" s="162">
        <f>B190+B191</f>
        <v>4809.149787692566</v>
      </c>
      <c r="C189" s="162">
        <f>C190+C191</f>
        <v>100</v>
      </c>
      <c r="D189" s="162">
        <f t="shared" ref="D189:H189" si="67">D190+D191</f>
        <v>0</v>
      </c>
      <c r="E189" s="162">
        <f>E190+E191</f>
        <v>5126.3350451326842</v>
      </c>
      <c r="F189" s="162">
        <f>F190+F191</f>
        <v>0</v>
      </c>
      <c r="G189" s="162">
        <f>G190+G191</f>
        <v>100.00000000000001</v>
      </c>
      <c r="H189" s="162">
        <f t="shared" si="67"/>
        <v>0</v>
      </c>
      <c r="I189" s="162">
        <f>I190+I191</f>
        <v>5636.2041452674666</v>
      </c>
      <c r="J189" s="255"/>
      <c r="K189" s="162">
        <f>K190+K191</f>
        <v>100</v>
      </c>
      <c r="L189" s="166"/>
      <c r="M189" s="162">
        <f>M190+M191</f>
        <v>5921.6668196998817</v>
      </c>
      <c r="N189" s="162">
        <f>N190+N191</f>
        <v>100</v>
      </c>
      <c r="O189" s="1"/>
      <c r="P189" s="155"/>
      <c r="Q189" s="183"/>
    </row>
    <row r="190" spans="1:17" ht="14.25" customHeight="1" x14ac:dyDescent="0.25">
      <c r="A190" s="20" t="s">
        <v>80</v>
      </c>
      <c r="B190" s="182">
        <v>616.72704390530873</v>
      </c>
      <c r="C190" s="182">
        <f>(B190/$B$189)*100</f>
        <v>12.824034832177993</v>
      </c>
      <c r="D190" s="182"/>
      <c r="E190" s="182">
        <v>624.58617391268353</v>
      </c>
      <c r="F190" s="182"/>
      <c r="G190" s="182">
        <f>(E190/$E$189)*100</f>
        <v>12.183873438114645</v>
      </c>
      <c r="H190" s="182"/>
      <c r="I190" s="182">
        <v>632.74773171654465</v>
      </c>
      <c r="K190" s="182">
        <f>(I190/$I$189)*100</f>
        <v>11.226487107423919</v>
      </c>
      <c r="M190" s="182">
        <v>632.51414195661971</v>
      </c>
      <c r="N190" s="182">
        <f>(M190/$M$189)*100</f>
        <v>10.681353092213932</v>
      </c>
      <c r="O190" s="1"/>
      <c r="P190" s="155"/>
      <c r="Q190" s="183"/>
    </row>
    <row r="191" spans="1:17" ht="12.95" customHeight="1" x14ac:dyDescent="0.25">
      <c r="A191" s="210" t="s">
        <v>97</v>
      </c>
      <c r="B191" s="155">
        <v>4192.4227437872569</v>
      </c>
      <c r="C191" s="182">
        <f>(B191/$B$189)*100</f>
        <v>87.175965167822</v>
      </c>
      <c r="D191" s="134"/>
      <c r="E191" s="155">
        <v>4501.7488712200011</v>
      </c>
      <c r="F191" s="208"/>
      <c r="G191" s="182">
        <f>(E191/$E$189)*100</f>
        <v>87.816126561885369</v>
      </c>
      <c r="H191" s="208"/>
      <c r="I191" s="155">
        <v>5003.4564135509218</v>
      </c>
      <c r="K191" s="182">
        <f>(I191/$I$189)*100</f>
        <v>88.773512892576079</v>
      </c>
      <c r="M191" s="182">
        <v>5289.1526777432618</v>
      </c>
      <c r="N191" s="182">
        <f>(M191/$M$189)*100</f>
        <v>89.318646907786075</v>
      </c>
      <c r="O191" s="106"/>
      <c r="P191" s="155"/>
      <c r="Q191" s="183"/>
    </row>
    <row r="192" spans="1:17" ht="25.5" customHeight="1" x14ac:dyDescent="0.25">
      <c r="A192" s="146" t="s">
        <v>116</v>
      </c>
      <c r="B192" s="156" t="s">
        <v>95</v>
      </c>
      <c r="C192" s="58" t="s">
        <v>95</v>
      </c>
      <c r="D192" s="133"/>
      <c r="E192" s="156" t="s">
        <v>95</v>
      </c>
      <c r="G192" s="58" t="s">
        <v>95</v>
      </c>
      <c r="I192" s="155" t="s">
        <v>95</v>
      </c>
      <c r="K192" s="58" t="s">
        <v>95</v>
      </c>
      <c r="M192" s="58" t="s">
        <v>95</v>
      </c>
      <c r="N192" s="58" t="s">
        <v>95</v>
      </c>
      <c r="O192" s="1"/>
      <c r="P192" s="156"/>
      <c r="Q192" s="183"/>
    </row>
    <row r="193" spans="1:17" ht="4.5" customHeight="1" x14ac:dyDescent="0.25">
      <c r="A193" s="193"/>
      <c r="B193" s="193"/>
      <c r="C193" s="193"/>
      <c r="D193" s="193"/>
      <c r="E193" s="193"/>
      <c r="F193" s="193"/>
      <c r="G193" s="193"/>
      <c r="H193" s="193"/>
      <c r="I193" s="193"/>
      <c r="J193" s="81"/>
      <c r="K193" s="193"/>
      <c r="L193" s="193"/>
      <c r="M193" s="193"/>
      <c r="N193" s="193"/>
      <c r="O193" s="81"/>
      <c r="P193" s="81"/>
      <c r="Q193" s="81"/>
    </row>
    <row r="194" spans="1:17" s="4" customFormat="1" ht="12.75" customHeight="1" x14ac:dyDescent="0.25">
      <c r="A194" s="246" t="s">
        <v>125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1:17" ht="12.75" customHeight="1" x14ac:dyDescent="0.25">
      <c r="A195" s="168" t="s">
        <v>126</v>
      </c>
      <c r="B195" s="7"/>
      <c r="C195" s="7"/>
      <c r="D195" s="7"/>
      <c r="E195" s="7"/>
      <c r="F195" s="7"/>
      <c r="G195" s="7"/>
      <c r="H195" s="81"/>
      <c r="I195" s="81"/>
      <c r="J195" s="81"/>
      <c r="K195" s="81"/>
      <c r="L195" s="81"/>
      <c r="N195" s="4"/>
      <c r="O195" s="4"/>
      <c r="P195" s="4"/>
      <c r="Q195" s="4"/>
    </row>
    <row r="196" spans="1:17" s="4" customFormat="1" ht="9.75" customHeight="1" x14ac:dyDescent="0.25">
      <c r="A196" s="168" t="s">
        <v>127</v>
      </c>
      <c r="B196" s="81"/>
      <c r="C196" s="81"/>
      <c r="D196" s="81"/>
      <c r="E196" s="81"/>
      <c r="F196" s="81"/>
      <c r="G196" s="81"/>
      <c r="H196" s="7"/>
      <c r="I196" s="7"/>
      <c r="J196" s="7"/>
      <c r="K196" s="7"/>
      <c r="L196" s="7"/>
      <c r="M196" s="229"/>
      <c r="N196" s="7"/>
      <c r="O196" s="7"/>
      <c r="P196" s="7"/>
      <c r="Q196" s="7"/>
    </row>
    <row r="197" spans="1:17" s="4" customFormat="1" ht="12" customHeight="1" x14ac:dyDescent="0.25">
      <c r="A197" s="247" t="s">
        <v>100</v>
      </c>
      <c r="B197" s="372"/>
      <c r="C197" s="372"/>
      <c r="D197" s="372"/>
      <c r="E197" s="372"/>
      <c r="F197" s="372"/>
      <c r="G197" s="372"/>
      <c r="H197" s="81"/>
      <c r="I197" s="81"/>
      <c r="J197" s="81"/>
      <c r="K197" s="81"/>
      <c r="L197" s="81"/>
      <c r="M197" s="230"/>
      <c r="N197" s="172"/>
      <c r="P197" s="172"/>
      <c r="Q197" s="146"/>
    </row>
    <row r="198" spans="1:17" s="4" customFormat="1" ht="12" customHeight="1" x14ac:dyDescent="0.25">
      <c r="A198" s="247" t="s">
        <v>101</v>
      </c>
      <c r="B198" s="372"/>
      <c r="C198" s="372"/>
      <c r="D198" s="372"/>
      <c r="E198" s="372"/>
      <c r="F198" s="372"/>
      <c r="G198" s="372"/>
      <c r="H198" s="81"/>
      <c r="I198" s="81"/>
      <c r="J198" s="81"/>
      <c r="K198" s="81"/>
      <c r="L198" s="81"/>
      <c r="M198" s="230"/>
      <c r="N198" s="172"/>
      <c r="P198" s="172"/>
      <c r="Q198" s="146"/>
    </row>
    <row r="199" spans="1:17" s="10" customFormat="1" ht="12.75" customHeight="1" x14ac:dyDescent="0.3">
      <c r="A199" s="174" t="s">
        <v>88</v>
      </c>
      <c r="B199" s="372"/>
      <c r="C199" s="372"/>
      <c r="D199" s="372"/>
      <c r="E199" s="372"/>
      <c r="F199" s="372"/>
      <c r="G199" s="372"/>
      <c r="H199" s="372"/>
      <c r="I199" s="77"/>
      <c r="J199" s="77"/>
      <c r="K199" s="77"/>
      <c r="L199" s="77"/>
      <c r="M199" s="63"/>
      <c r="N199" s="4"/>
      <c r="O199" s="172"/>
      <c r="P199" s="4"/>
      <c r="Q199" s="4"/>
    </row>
    <row r="200" spans="1:17" s="56" customFormat="1" ht="9.75" customHeight="1" x14ac:dyDescent="0.25">
      <c r="A200" s="175" t="s">
        <v>128</v>
      </c>
      <c r="B200" s="4"/>
      <c r="C200" s="4"/>
      <c r="D200" s="4"/>
      <c r="E200" s="81"/>
      <c r="F200" s="81"/>
      <c r="G200" s="58"/>
      <c r="H200" s="60"/>
      <c r="I200" s="147"/>
      <c r="J200" s="147"/>
      <c r="K200" s="20"/>
      <c r="L200" s="20"/>
      <c r="M200" s="63"/>
      <c r="N200" s="4"/>
      <c r="O200" s="1"/>
      <c r="P200" s="4"/>
      <c r="Q200" s="4"/>
    </row>
    <row r="201" spans="1:17" s="4" customFormat="1" ht="15.75" x14ac:dyDescent="0.25">
      <c r="A201" s="77"/>
      <c r="B201" s="380"/>
      <c r="C201" s="380"/>
      <c r="D201" s="380"/>
      <c r="E201" s="380"/>
      <c r="F201" s="380"/>
      <c r="G201" s="380"/>
      <c r="H201" s="58"/>
      <c r="I201" s="63"/>
      <c r="J201" s="63"/>
      <c r="L201" s="58"/>
      <c r="M201" s="221"/>
    </row>
    <row r="202" spans="1:17" s="4" customFormat="1" ht="15" customHeight="1" x14ac:dyDescent="0.25">
      <c r="B202" s="380"/>
      <c r="C202" s="380"/>
      <c r="D202" s="380"/>
      <c r="E202" s="380"/>
      <c r="F202" s="380"/>
      <c r="G202" s="380"/>
      <c r="H202" s="380"/>
      <c r="I202" s="380"/>
      <c r="J202" s="380"/>
      <c r="K202" s="380"/>
      <c r="L202" s="58"/>
      <c r="M202" s="221"/>
    </row>
    <row r="203" spans="1:17" s="4" customFormat="1" ht="15" customHeight="1" x14ac:dyDescent="0.25">
      <c r="B203" s="379"/>
      <c r="C203" s="379"/>
      <c r="D203" s="379"/>
      <c r="E203" s="379"/>
      <c r="F203" s="379"/>
      <c r="G203" s="379"/>
      <c r="H203" s="380"/>
      <c r="I203" s="380"/>
      <c r="J203" s="380"/>
      <c r="K203" s="380"/>
      <c r="L203" s="58"/>
      <c r="M203" s="221"/>
    </row>
    <row r="204" spans="1:17" s="4" customFormat="1" ht="33.75" customHeight="1" x14ac:dyDescent="0.25">
      <c r="B204" s="75"/>
      <c r="C204" s="75"/>
      <c r="D204" s="75"/>
      <c r="E204" s="75"/>
      <c r="F204" s="75"/>
      <c r="G204" s="75"/>
      <c r="H204" s="379"/>
      <c r="I204" s="379"/>
      <c r="J204" s="379"/>
      <c r="K204" s="379"/>
      <c r="M204" s="221"/>
    </row>
    <row r="205" spans="1:17" s="4" customFormat="1" ht="24.75" customHeight="1" x14ac:dyDescent="0.25">
      <c r="H205" s="75"/>
      <c r="I205" s="75"/>
      <c r="J205" s="75"/>
      <c r="K205" s="75"/>
      <c r="M205" s="221"/>
    </row>
    <row r="206" spans="1:17" s="4" customFormat="1" x14ac:dyDescent="0.25">
      <c r="H206" s="2"/>
      <c r="M206" s="221"/>
    </row>
    <row r="207" spans="1:17" s="4" customFormat="1" ht="33" customHeight="1" x14ac:dyDescent="0.25">
      <c r="H207" s="2"/>
      <c r="M207" s="81"/>
      <c r="N207" s="92"/>
    </row>
    <row r="208" spans="1:17" s="4" customFormat="1" x14ac:dyDescent="0.25">
      <c r="H208" s="18"/>
      <c r="M208" s="81"/>
      <c r="N208" s="92"/>
    </row>
    <row r="209" spans="8:14" s="4" customFormat="1" ht="11.25" customHeight="1" x14ac:dyDescent="0.25">
      <c r="H209" s="2"/>
      <c r="L209" s="1"/>
      <c r="M209" s="89"/>
      <c r="N209" s="92"/>
    </row>
    <row r="210" spans="8:14" s="4" customFormat="1" ht="12" customHeight="1" x14ac:dyDescent="0.25">
      <c r="H210" s="2"/>
      <c r="L210" s="1"/>
      <c r="M210" s="89"/>
      <c r="N210" s="92"/>
    </row>
    <row r="211" spans="8:14" s="4" customFormat="1" ht="10.5" customHeight="1" x14ac:dyDescent="0.25">
      <c r="H211" s="2"/>
      <c r="L211" s="1"/>
      <c r="M211" s="89"/>
      <c r="N211" s="92"/>
    </row>
    <row r="212" spans="8:14" s="4" customFormat="1" ht="11.25" customHeight="1" x14ac:dyDescent="0.25">
      <c r="H212" s="2"/>
      <c r="L212" s="1"/>
      <c r="M212" s="221"/>
      <c r="N212" s="92"/>
    </row>
    <row r="213" spans="8:14" s="4" customFormat="1" ht="11.25" customHeight="1" x14ac:dyDescent="0.25">
      <c r="H213" s="2"/>
      <c r="L213" s="1"/>
      <c r="M213" s="221"/>
      <c r="N213" s="92"/>
    </row>
    <row r="214" spans="8:14" s="4" customFormat="1" ht="11.25" customHeight="1" x14ac:dyDescent="0.25">
      <c r="H214" s="20"/>
      <c r="L214" s="1"/>
      <c r="M214" s="81"/>
      <c r="N214" s="92"/>
    </row>
    <row r="215" spans="8:14" s="4" customFormat="1" ht="1.5" customHeight="1" x14ac:dyDescent="0.25">
      <c r="H215" s="20"/>
      <c r="L215" s="1"/>
      <c r="M215" s="89"/>
      <c r="N215" s="92"/>
    </row>
    <row r="216" spans="8:14" s="4" customFormat="1" ht="24" customHeight="1" x14ac:dyDescent="0.25">
      <c r="H216" s="2"/>
      <c r="L216" s="1"/>
      <c r="M216" s="89"/>
      <c r="N216" s="92"/>
    </row>
    <row r="217" spans="8:14" s="4" customFormat="1" ht="11.25" customHeight="1" x14ac:dyDescent="0.25">
      <c r="H217" s="2"/>
      <c r="L217" s="1"/>
      <c r="M217" s="89"/>
      <c r="N217" s="92"/>
    </row>
    <row r="218" spans="8:14" s="4" customFormat="1" ht="11.25" customHeight="1" x14ac:dyDescent="0.25">
      <c r="H218" s="2"/>
      <c r="L218" s="1"/>
      <c r="M218" s="89"/>
      <c r="N218" s="92"/>
    </row>
    <row r="219" spans="8:14" s="4" customFormat="1" ht="11.25" customHeight="1" x14ac:dyDescent="0.25">
      <c r="H219" s="2"/>
      <c r="L219" s="1"/>
      <c r="M219" s="89"/>
      <c r="N219" s="92"/>
    </row>
    <row r="220" spans="8:14" s="4" customFormat="1" ht="11.25" customHeight="1" x14ac:dyDescent="0.25">
      <c r="H220" s="2"/>
      <c r="L220" s="1"/>
      <c r="M220" s="89"/>
      <c r="N220" s="92"/>
    </row>
    <row r="221" spans="8:14" s="4" customFormat="1" ht="1.5" customHeight="1" x14ac:dyDescent="0.25">
      <c r="H221" s="2"/>
      <c r="L221" s="1"/>
      <c r="M221" s="89"/>
      <c r="N221" s="92"/>
    </row>
    <row r="222" spans="8:14" s="4" customFormat="1" ht="11.25" customHeight="1" x14ac:dyDescent="0.25">
      <c r="H222" s="2"/>
      <c r="L222" s="1"/>
      <c r="M222" s="89"/>
      <c r="N222" s="92"/>
    </row>
    <row r="223" spans="8:14" s="4" customFormat="1" ht="11.25" customHeight="1" x14ac:dyDescent="0.25">
      <c r="H223" s="111"/>
      <c r="L223" s="1"/>
      <c r="M223" s="89"/>
      <c r="N223" s="92"/>
    </row>
    <row r="224" spans="8:14" s="4" customFormat="1" ht="11.25" customHeight="1" x14ac:dyDescent="0.25">
      <c r="H224" s="2"/>
      <c r="L224" s="1"/>
      <c r="M224" s="89"/>
      <c r="N224" s="92"/>
    </row>
    <row r="225" spans="8:14" s="4" customFormat="1" ht="11.25" customHeight="1" x14ac:dyDescent="0.25">
      <c r="H225" s="2"/>
      <c r="L225" s="1"/>
      <c r="M225" s="89"/>
      <c r="N225" s="92"/>
    </row>
    <row r="226" spans="8:14" s="4" customFormat="1" ht="11.25" customHeight="1" x14ac:dyDescent="0.25">
      <c r="H226" s="2"/>
      <c r="L226" s="1"/>
      <c r="M226" s="89"/>
      <c r="N226" s="92"/>
    </row>
    <row r="227" spans="8:14" s="4" customFormat="1" ht="11.25" customHeight="1" x14ac:dyDescent="0.25">
      <c r="H227" s="2"/>
      <c r="L227" s="1"/>
      <c r="M227" s="89"/>
      <c r="N227" s="92"/>
    </row>
    <row r="228" spans="8:14" s="4" customFormat="1" ht="11.25" customHeight="1" x14ac:dyDescent="0.25">
      <c r="H228" s="2"/>
      <c r="L228" s="1"/>
      <c r="M228" s="89"/>
      <c r="N228" s="92"/>
    </row>
    <row r="229" spans="8:14" s="4" customFormat="1" ht="11.25" customHeight="1" x14ac:dyDescent="0.25">
      <c r="H229" s="2"/>
      <c r="L229" s="1"/>
      <c r="M229" s="89"/>
      <c r="N229" s="92"/>
    </row>
    <row r="230" spans="8:14" s="4" customFormat="1" ht="11.25" customHeight="1" x14ac:dyDescent="0.25">
      <c r="H230" s="2"/>
      <c r="L230" s="1"/>
      <c r="M230" s="89"/>
      <c r="N230" s="92"/>
    </row>
    <row r="231" spans="8:14" s="4" customFormat="1" ht="0.75" customHeight="1" x14ac:dyDescent="0.25">
      <c r="H231" s="2"/>
      <c r="L231" s="1"/>
      <c r="M231" s="89"/>
      <c r="N231" s="92"/>
    </row>
    <row r="232" spans="8:14" s="4" customFormat="1" ht="11.25" customHeight="1" x14ac:dyDescent="0.25">
      <c r="H232" s="2"/>
      <c r="L232" s="1"/>
      <c r="M232" s="89"/>
      <c r="N232" s="92"/>
    </row>
    <row r="233" spans="8:14" s="4" customFormat="1" ht="11.25" customHeight="1" x14ac:dyDescent="0.25">
      <c r="H233" s="2"/>
      <c r="L233" s="1"/>
      <c r="M233" s="89"/>
      <c r="N233" s="92"/>
    </row>
    <row r="234" spans="8:14" s="4" customFormat="1" ht="11.25" customHeight="1" x14ac:dyDescent="0.25">
      <c r="H234" s="111"/>
      <c r="L234" s="1"/>
      <c r="M234" s="89"/>
      <c r="N234" s="92"/>
    </row>
    <row r="235" spans="8:14" s="4" customFormat="1" ht="11.25" customHeight="1" x14ac:dyDescent="0.25">
      <c r="H235" s="2"/>
      <c r="L235" s="1"/>
      <c r="M235" s="89"/>
      <c r="N235" s="92"/>
    </row>
    <row r="236" spans="8:14" s="4" customFormat="1" ht="11.25" customHeight="1" x14ac:dyDescent="0.25">
      <c r="H236" s="2"/>
      <c r="L236" s="1"/>
      <c r="M236" s="89"/>
      <c r="N236" s="92"/>
    </row>
    <row r="237" spans="8:14" s="4" customFormat="1" ht="11.25" customHeight="1" x14ac:dyDescent="0.25">
      <c r="H237" s="2"/>
      <c r="L237" s="1"/>
      <c r="M237" s="89"/>
      <c r="N237" s="92"/>
    </row>
    <row r="238" spans="8:14" s="4" customFormat="1" ht="11.25" customHeight="1" x14ac:dyDescent="0.25">
      <c r="H238" s="2"/>
      <c r="L238" s="1"/>
      <c r="M238" s="89"/>
      <c r="N238" s="92"/>
    </row>
    <row r="239" spans="8:14" s="4" customFormat="1" ht="11.25" customHeight="1" x14ac:dyDescent="0.25">
      <c r="H239" s="2"/>
      <c r="L239" s="1"/>
      <c r="M239" s="89"/>
      <c r="N239" s="92"/>
    </row>
    <row r="240" spans="8:14" s="4" customFormat="1" ht="0.75" customHeight="1" x14ac:dyDescent="0.25">
      <c r="H240" s="2"/>
      <c r="L240" s="1"/>
      <c r="M240" s="89"/>
      <c r="N240" s="92"/>
    </row>
    <row r="241" spans="8:14" s="4" customFormat="1" ht="11.25" customHeight="1" x14ac:dyDescent="0.25">
      <c r="H241" s="2"/>
      <c r="L241" s="1"/>
      <c r="M241" s="89"/>
      <c r="N241" s="92"/>
    </row>
    <row r="242" spans="8:14" s="4" customFormat="1" ht="11.25" customHeight="1" x14ac:dyDescent="0.25">
      <c r="H242" s="2"/>
      <c r="L242" s="1"/>
      <c r="M242" s="89"/>
      <c r="N242" s="92"/>
    </row>
    <row r="243" spans="8:14" s="4" customFormat="1" ht="11.25" customHeight="1" x14ac:dyDescent="0.25">
      <c r="H243" s="2"/>
      <c r="L243" s="1"/>
      <c r="M243" s="89"/>
    </row>
    <row r="244" spans="8:14" s="4" customFormat="1" ht="11.25" customHeight="1" x14ac:dyDescent="0.25">
      <c r="H244" s="2"/>
      <c r="L244" s="1"/>
      <c r="M244" s="89"/>
    </row>
    <row r="245" spans="8:14" s="4" customFormat="1" ht="2.25" customHeight="1" x14ac:dyDescent="0.25">
      <c r="H245" s="2"/>
      <c r="L245" s="1"/>
      <c r="M245" s="89"/>
    </row>
    <row r="246" spans="8:14" s="4" customFormat="1" ht="11.25" customHeight="1" x14ac:dyDescent="0.25">
      <c r="H246" s="2"/>
      <c r="L246" s="1"/>
      <c r="M246" s="89"/>
    </row>
    <row r="247" spans="8:14" s="4" customFormat="1" ht="11.25" customHeight="1" x14ac:dyDescent="0.25">
      <c r="H247" s="2"/>
      <c r="L247" s="1"/>
      <c r="M247" s="89"/>
    </row>
    <row r="248" spans="8:14" s="4" customFormat="1" ht="29.25" customHeight="1" x14ac:dyDescent="0.25">
      <c r="H248" s="2"/>
      <c r="L248" s="1"/>
      <c r="M248" s="89"/>
    </row>
    <row r="249" spans="8:14" s="4" customFormat="1" ht="11.25" customHeight="1" x14ac:dyDescent="0.25">
      <c r="H249" s="2"/>
      <c r="L249" s="1"/>
      <c r="M249" s="89"/>
    </row>
    <row r="250" spans="8:14" s="4" customFormat="1" ht="18" customHeight="1" x14ac:dyDescent="0.25">
      <c r="H250" s="19"/>
      <c r="L250" s="1"/>
      <c r="M250" s="89"/>
    </row>
    <row r="251" spans="8:14" s="4" customFormat="1" ht="11.25" customHeight="1" x14ac:dyDescent="0.25">
      <c r="H251" s="2"/>
      <c r="L251" s="1"/>
      <c r="M251" s="89"/>
    </row>
    <row r="252" spans="8:14" s="4" customFormat="1" ht="11.25" customHeight="1" x14ac:dyDescent="0.25">
      <c r="H252" s="2"/>
      <c r="L252" s="1"/>
      <c r="M252" s="89"/>
    </row>
    <row r="253" spans="8:14" s="4" customFormat="1" ht="11.25" customHeight="1" x14ac:dyDescent="0.25">
      <c r="H253" s="2"/>
      <c r="L253" s="1"/>
      <c r="M253" s="89"/>
    </row>
    <row r="254" spans="8:14" s="4" customFormat="1" ht="11.25" customHeight="1" x14ac:dyDescent="0.25">
      <c r="H254" s="2"/>
      <c r="L254" s="1"/>
      <c r="M254" s="89"/>
    </row>
    <row r="255" spans="8:14" s="4" customFormat="1" ht="11.25" customHeight="1" x14ac:dyDescent="0.25">
      <c r="H255" s="2"/>
      <c r="L255" s="1"/>
      <c r="M255" s="89"/>
    </row>
    <row r="256" spans="8:14" s="4" customFormat="1" ht="12" customHeight="1" x14ac:dyDescent="0.25">
      <c r="H256" s="113"/>
      <c r="L256" s="1"/>
      <c r="M256" s="89"/>
    </row>
    <row r="257" spans="1:16352" s="4" customFormat="1" ht="21.75" customHeight="1" x14ac:dyDescent="0.25">
      <c r="H257" s="2"/>
      <c r="L257" s="1"/>
      <c r="M257" s="89"/>
    </row>
    <row r="258" spans="1:16352" s="4" customFormat="1" ht="14.25" customHeight="1" x14ac:dyDescent="0.25">
      <c r="H258" s="2"/>
      <c r="L258" s="1"/>
      <c r="M258" s="89"/>
    </row>
    <row r="259" spans="1:16352" s="4" customFormat="1" ht="13.5" customHeight="1" x14ac:dyDescent="0.25">
      <c r="H259" s="2"/>
      <c r="L259" s="1"/>
      <c r="M259" s="89"/>
    </row>
    <row r="260" spans="1:16352" s="4" customFormat="1" ht="33.75" customHeight="1" x14ac:dyDescent="0.25">
      <c r="B260" s="81"/>
      <c r="C260" s="81"/>
      <c r="D260" s="7"/>
      <c r="E260" s="7"/>
      <c r="F260" s="7"/>
      <c r="G260" s="7"/>
      <c r="H260" s="112"/>
      <c r="L260" s="1"/>
      <c r="M260" s="232"/>
      <c r="N260" s="169"/>
      <c r="P260" s="169"/>
      <c r="Q260" s="169"/>
    </row>
    <row r="261" spans="1:16352" s="4" customFormat="1" ht="3.75" customHeight="1" x14ac:dyDescent="0.25">
      <c r="B261" s="169"/>
      <c r="C261" s="169"/>
      <c r="D261" s="169"/>
      <c r="E261" s="169"/>
      <c r="F261" s="169"/>
      <c r="G261" s="169"/>
      <c r="H261" s="7"/>
      <c r="I261" s="7"/>
      <c r="J261" s="7"/>
      <c r="K261" s="7"/>
      <c r="L261" s="1"/>
      <c r="M261" s="89"/>
    </row>
    <row r="262" spans="1:16352" s="4" customFormat="1" ht="12" customHeight="1" x14ac:dyDescent="0.25">
      <c r="B262" s="81"/>
      <c r="C262" s="81"/>
      <c r="D262" s="7"/>
      <c r="E262" s="7"/>
      <c r="F262" s="7"/>
      <c r="G262" s="7"/>
      <c r="H262" s="169"/>
      <c r="I262" s="169"/>
      <c r="J262" s="169"/>
      <c r="K262" s="169"/>
      <c r="L262" s="169"/>
      <c r="M262" s="233"/>
      <c r="N262" s="170"/>
      <c r="O262" s="169"/>
      <c r="P262" s="170"/>
      <c r="Q262" s="170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  <c r="BM262" s="169"/>
      <c r="BN262" s="169"/>
      <c r="BO262" s="169"/>
      <c r="BP262" s="169"/>
      <c r="BQ262" s="169"/>
      <c r="BR262" s="169"/>
      <c r="BS262" s="169"/>
      <c r="BT262" s="169"/>
      <c r="BU262" s="169"/>
      <c r="BV262" s="169"/>
      <c r="BW262" s="169"/>
      <c r="BX262" s="169"/>
      <c r="BY262" s="169"/>
      <c r="BZ262" s="169"/>
      <c r="CA262" s="169"/>
      <c r="CB262" s="169"/>
      <c r="CC262" s="169"/>
      <c r="CD262" s="169"/>
      <c r="CE262" s="169"/>
      <c r="CF262" s="169"/>
      <c r="CG262" s="169"/>
      <c r="CH262" s="169"/>
      <c r="CI262" s="169"/>
      <c r="CJ262" s="169"/>
      <c r="CK262" s="169"/>
      <c r="CL262" s="169"/>
      <c r="CM262" s="169"/>
      <c r="CN262" s="169"/>
      <c r="CO262" s="169"/>
      <c r="CP262" s="169"/>
      <c r="CQ262" s="169"/>
      <c r="CR262" s="169"/>
      <c r="CS262" s="169"/>
      <c r="CT262" s="169"/>
      <c r="CU262" s="169"/>
      <c r="CV262" s="169"/>
      <c r="CW262" s="169"/>
      <c r="CX262" s="169"/>
      <c r="CY262" s="169"/>
      <c r="CZ262" s="169"/>
      <c r="DA262" s="169"/>
      <c r="DB262" s="169"/>
      <c r="DC262" s="169"/>
      <c r="DD262" s="169"/>
      <c r="DE262" s="169"/>
      <c r="DF262" s="169"/>
      <c r="DG262" s="169"/>
      <c r="DH262" s="169"/>
      <c r="DI262" s="169"/>
      <c r="DJ262" s="169"/>
      <c r="DK262" s="169"/>
      <c r="DL262" s="169"/>
      <c r="DM262" s="169"/>
      <c r="DN262" s="169"/>
      <c r="DO262" s="169"/>
      <c r="DP262" s="169"/>
      <c r="DQ262" s="169"/>
      <c r="DR262" s="169"/>
      <c r="DS262" s="169"/>
      <c r="DT262" s="169"/>
      <c r="DU262" s="169"/>
      <c r="DV262" s="169"/>
      <c r="DW262" s="169"/>
      <c r="DX262" s="169"/>
      <c r="DY262" s="169"/>
      <c r="DZ262" s="169"/>
      <c r="EA262" s="169"/>
      <c r="EB262" s="169"/>
      <c r="EC262" s="169"/>
      <c r="ED262" s="169"/>
      <c r="EE262" s="169"/>
      <c r="EF262" s="169"/>
      <c r="EG262" s="169"/>
      <c r="EH262" s="169"/>
      <c r="EI262" s="169"/>
      <c r="EJ262" s="169"/>
      <c r="EK262" s="169"/>
      <c r="EL262" s="169"/>
      <c r="EM262" s="169"/>
      <c r="EN262" s="169"/>
      <c r="EO262" s="169"/>
      <c r="EP262" s="169"/>
      <c r="EQ262" s="169"/>
      <c r="ER262" s="169"/>
      <c r="ES262" s="169"/>
      <c r="ET262" s="169"/>
      <c r="EU262" s="169"/>
      <c r="EV262" s="169"/>
      <c r="EW262" s="169"/>
      <c r="EX262" s="169"/>
      <c r="EY262" s="169"/>
      <c r="EZ262" s="169"/>
      <c r="FA262" s="169"/>
      <c r="FB262" s="169"/>
      <c r="FC262" s="169"/>
      <c r="FD262" s="169"/>
      <c r="FE262" s="169"/>
      <c r="FF262" s="169"/>
      <c r="FG262" s="169"/>
      <c r="FH262" s="169"/>
      <c r="FI262" s="169"/>
      <c r="FJ262" s="169"/>
      <c r="FK262" s="169"/>
      <c r="FL262" s="169"/>
      <c r="FM262" s="169"/>
      <c r="FN262" s="169"/>
      <c r="FO262" s="169"/>
      <c r="FP262" s="169"/>
      <c r="FQ262" s="169"/>
      <c r="FR262" s="169"/>
      <c r="FS262" s="169"/>
      <c r="FT262" s="169"/>
      <c r="FU262" s="169"/>
      <c r="FV262" s="169"/>
      <c r="FW262" s="169"/>
      <c r="FX262" s="169"/>
      <c r="FY262" s="169"/>
      <c r="FZ262" s="169"/>
      <c r="GA262" s="169"/>
      <c r="GB262" s="169"/>
      <c r="GC262" s="169"/>
      <c r="GD262" s="169"/>
      <c r="GE262" s="169"/>
      <c r="GF262" s="169"/>
      <c r="GG262" s="169"/>
      <c r="GH262" s="169"/>
      <c r="GI262" s="169"/>
      <c r="GJ262" s="169"/>
      <c r="GK262" s="169"/>
      <c r="GL262" s="169"/>
      <c r="GM262" s="169"/>
      <c r="GN262" s="169"/>
      <c r="GO262" s="169"/>
      <c r="GP262" s="169"/>
      <c r="GQ262" s="169"/>
      <c r="GR262" s="169"/>
      <c r="GS262" s="169"/>
      <c r="GT262" s="169"/>
      <c r="GU262" s="169"/>
      <c r="GV262" s="169"/>
      <c r="GW262" s="169"/>
      <c r="GX262" s="169"/>
      <c r="GY262" s="169"/>
      <c r="GZ262" s="169"/>
      <c r="HA262" s="169"/>
      <c r="HB262" s="169"/>
      <c r="HC262" s="169"/>
      <c r="HD262" s="169"/>
      <c r="HE262" s="169"/>
      <c r="HF262" s="169"/>
      <c r="HG262" s="169"/>
      <c r="HH262" s="169"/>
      <c r="HI262" s="169"/>
      <c r="HJ262" s="169"/>
      <c r="HK262" s="169"/>
      <c r="HL262" s="169"/>
      <c r="HM262" s="169"/>
      <c r="HN262" s="169"/>
      <c r="HO262" s="169"/>
      <c r="HP262" s="169"/>
      <c r="HQ262" s="169"/>
      <c r="HR262" s="169"/>
      <c r="HS262" s="169"/>
      <c r="HT262" s="169"/>
      <c r="HU262" s="169"/>
      <c r="HV262" s="169"/>
      <c r="HW262" s="169"/>
      <c r="HX262" s="169"/>
      <c r="HY262" s="169"/>
      <c r="HZ262" s="169"/>
      <c r="IA262" s="169"/>
      <c r="IB262" s="169"/>
      <c r="IC262" s="169"/>
      <c r="ID262" s="169"/>
      <c r="IE262" s="169"/>
      <c r="IF262" s="169"/>
      <c r="IG262" s="169"/>
      <c r="IH262" s="169"/>
      <c r="II262" s="169"/>
      <c r="IJ262" s="169"/>
      <c r="IK262" s="169"/>
      <c r="IL262" s="169"/>
      <c r="IM262" s="169"/>
      <c r="IN262" s="169"/>
      <c r="IO262" s="169"/>
      <c r="IP262" s="169"/>
      <c r="IQ262" s="169"/>
      <c r="IR262" s="169"/>
      <c r="IS262" s="169"/>
      <c r="IT262" s="169"/>
      <c r="IU262" s="169"/>
      <c r="IV262" s="169"/>
      <c r="IW262" s="169"/>
      <c r="IX262" s="169"/>
      <c r="IY262" s="169"/>
      <c r="IZ262" s="169"/>
      <c r="JA262" s="169"/>
      <c r="JB262" s="169"/>
      <c r="JC262" s="169"/>
      <c r="JD262" s="169"/>
      <c r="JE262" s="169"/>
      <c r="JF262" s="169"/>
      <c r="JG262" s="169"/>
      <c r="JH262" s="169"/>
      <c r="JI262" s="169"/>
      <c r="JJ262" s="169"/>
      <c r="JK262" s="169"/>
      <c r="JL262" s="169"/>
      <c r="JM262" s="169"/>
      <c r="JN262" s="169"/>
      <c r="JO262" s="169"/>
      <c r="JP262" s="169"/>
      <c r="JQ262" s="169"/>
      <c r="JR262" s="169"/>
      <c r="JS262" s="169"/>
      <c r="JT262" s="169"/>
      <c r="JU262" s="169"/>
      <c r="JV262" s="169"/>
      <c r="JW262" s="169"/>
      <c r="JX262" s="169"/>
      <c r="JY262" s="169"/>
      <c r="JZ262" s="169"/>
      <c r="KA262" s="169"/>
      <c r="KB262" s="169"/>
      <c r="KC262" s="169"/>
      <c r="KD262" s="169"/>
      <c r="KE262" s="169"/>
      <c r="KF262" s="169"/>
      <c r="KG262" s="169"/>
      <c r="KH262" s="169"/>
      <c r="KI262" s="169"/>
      <c r="KJ262" s="169"/>
      <c r="KK262" s="169"/>
      <c r="KL262" s="169"/>
      <c r="KM262" s="169"/>
      <c r="KN262" s="169"/>
      <c r="KO262" s="169"/>
      <c r="KP262" s="169"/>
      <c r="KQ262" s="169"/>
      <c r="KR262" s="169"/>
      <c r="KS262" s="169"/>
      <c r="KT262" s="169"/>
      <c r="KU262" s="169"/>
      <c r="KV262" s="169"/>
      <c r="KW262" s="169"/>
      <c r="KX262" s="169"/>
      <c r="KY262" s="169"/>
      <c r="KZ262" s="169"/>
      <c r="LA262" s="169"/>
      <c r="LB262" s="169"/>
      <c r="LC262" s="169"/>
      <c r="LD262" s="169"/>
      <c r="LE262" s="169"/>
      <c r="LF262" s="169"/>
      <c r="LG262" s="169"/>
      <c r="LH262" s="169"/>
      <c r="LI262" s="169"/>
      <c r="LJ262" s="169"/>
      <c r="LK262" s="169"/>
      <c r="LL262" s="169"/>
      <c r="LM262" s="169"/>
      <c r="LN262" s="169"/>
      <c r="LO262" s="169"/>
      <c r="LP262" s="169"/>
      <c r="LQ262" s="169"/>
      <c r="LR262" s="169"/>
      <c r="LS262" s="169"/>
      <c r="LT262" s="169"/>
      <c r="LU262" s="169"/>
      <c r="LV262" s="169"/>
      <c r="LW262" s="169"/>
      <c r="LX262" s="169"/>
      <c r="LY262" s="169"/>
      <c r="LZ262" s="169"/>
      <c r="MA262" s="169"/>
      <c r="MB262" s="169"/>
      <c r="MC262" s="169"/>
      <c r="MD262" s="169"/>
      <c r="ME262" s="169"/>
      <c r="MF262" s="169"/>
      <c r="MG262" s="169"/>
      <c r="MH262" s="169"/>
      <c r="MI262" s="169"/>
      <c r="MJ262" s="169"/>
      <c r="MK262" s="169"/>
      <c r="ML262" s="169"/>
      <c r="MM262" s="169"/>
      <c r="MN262" s="169"/>
      <c r="MO262" s="169"/>
      <c r="MP262" s="169"/>
      <c r="MQ262" s="169"/>
      <c r="MR262" s="169"/>
      <c r="MS262" s="169"/>
      <c r="MT262" s="169"/>
      <c r="MU262" s="169"/>
      <c r="MV262" s="169"/>
      <c r="MW262" s="169"/>
      <c r="MX262" s="169"/>
      <c r="MY262" s="169"/>
      <c r="MZ262" s="169"/>
      <c r="NA262" s="169"/>
      <c r="NB262" s="169"/>
      <c r="NC262" s="169"/>
      <c r="ND262" s="169"/>
      <c r="NE262" s="169"/>
      <c r="NF262" s="169"/>
      <c r="NG262" s="169"/>
      <c r="NH262" s="169"/>
      <c r="NI262" s="169"/>
      <c r="NJ262" s="169"/>
      <c r="NK262" s="169"/>
      <c r="NL262" s="169"/>
      <c r="NM262" s="169"/>
      <c r="NN262" s="169"/>
      <c r="NO262" s="169"/>
      <c r="NP262" s="169"/>
      <c r="NQ262" s="169"/>
      <c r="NR262" s="169"/>
      <c r="NS262" s="169"/>
      <c r="NT262" s="169"/>
      <c r="NU262" s="169"/>
      <c r="NV262" s="169"/>
      <c r="NW262" s="169"/>
      <c r="NX262" s="169"/>
      <c r="NY262" s="169"/>
      <c r="NZ262" s="169"/>
      <c r="OA262" s="169"/>
      <c r="OB262" s="169"/>
      <c r="OC262" s="169"/>
      <c r="OD262" s="169"/>
      <c r="OE262" s="169"/>
      <c r="OF262" s="169"/>
      <c r="OG262" s="169"/>
      <c r="OH262" s="169"/>
      <c r="OI262" s="169"/>
      <c r="OJ262" s="169"/>
      <c r="OK262" s="169"/>
      <c r="OL262" s="169"/>
      <c r="OM262" s="169"/>
      <c r="ON262" s="169"/>
      <c r="OO262" s="169"/>
      <c r="OP262" s="169"/>
      <c r="OQ262" s="169"/>
      <c r="OR262" s="169"/>
      <c r="OS262" s="169"/>
      <c r="OT262" s="169"/>
      <c r="OU262" s="169"/>
      <c r="OV262" s="169"/>
      <c r="OW262" s="169"/>
      <c r="OX262" s="169"/>
      <c r="OY262" s="169"/>
      <c r="OZ262" s="169"/>
      <c r="PA262" s="169"/>
      <c r="PB262" s="169"/>
      <c r="PC262" s="169"/>
      <c r="PD262" s="169"/>
      <c r="PE262" s="169"/>
      <c r="PF262" s="169"/>
      <c r="PG262" s="169"/>
      <c r="PH262" s="169"/>
      <c r="PI262" s="169"/>
      <c r="PJ262" s="169"/>
      <c r="PK262" s="169"/>
      <c r="PL262" s="169"/>
      <c r="PM262" s="169"/>
      <c r="PN262" s="169"/>
      <c r="PO262" s="169"/>
      <c r="PP262" s="169"/>
      <c r="PQ262" s="169"/>
      <c r="PR262" s="169"/>
      <c r="PS262" s="169"/>
      <c r="PT262" s="169"/>
      <c r="PU262" s="169"/>
      <c r="PV262" s="169"/>
      <c r="PW262" s="169"/>
      <c r="PX262" s="169"/>
      <c r="PY262" s="169"/>
      <c r="PZ262" s="169"/>
      <c r="QA262" s="169"/>
      <c r="QB262" s="169"/>
      <c r="QC262" s="169"/>
      <c r="QD262" s="169"/>
      <c r="QE262" s="169"/>
      <c r="QF262" s="169"/>
      <c r="QG262" s="169"/>
      <c r="QH262" s="169"/>
      <c r="QI262" s="169"/>
      <c r="QJ262" s="169"/>
      <c r="QK262" s="169"/>
      <c r="QL262" s="169"/>
      <c r="QM262" s="169"/>
      <c r="QN262" s="169"/>
      <c r="QO262" s="169"/>
      <c r="QP262" s="169"/>
      <c r="QQ262" s="169"/>
      <c r="QR262" s="169"/>
      <c r="QS262" s="169"/>
      <c r="QT262" s="169"/>
      <c r="QU262" s="169"/>
      <c r="QV262" s="169"/>
      <c r="QW262" s="169"/>
      <c r="QX262" s="169"/>
      <c r="QY262" s="169"/>
      <c r="QZ262" s="169"/>
      <c r="RA262" s="169"/>
      <c r="RB262" s="169"/>
      <c r="RC262" s="169"/>
      <c r="RD262" s="169"/>
      <c r="RE262" s="169"/>
      <c r="RF262" s="169"/>
      <c r="RG262" s="169"/>
      <c r="RH262" s="169"/>
      <c r="RI262" s="169"/>
      <c r="RJ262" s="169"/>
      <c r="RK262" s="169"/>
      <c r="RL262" s="169"/>
      <c r="RM262" s="169"/>
      <c r="RN262" s="169"/>
      <c r="RO262" s="169"/>
      <c r="RP262" s="169"/>
      <c r="RQ262" s="169"/>
      <c r="RR262" s="169"/>
      <c r="RS262" s="169"/>
      <c r="RT262" s="169"/>
      <c r="RU262" s="169"/>
      <c r="RV262" s="169"/>
      <c r="RW262" s="169"/>
      <c r="RX262" s="169"/>
      <c r="RY262" s="169"/>
      <c r="RZ262" s="169"/>
      <c r="SA262" s="169"/>
      <c r="SB262" s="169"/>
      <c r="SC262" s="169"/>
      <c r="SD262" s="169"/>
      <c r="SE262" s="169"/>
      <c r="SF262" s="169"/>
      <c r="SG262" s="169"/>
      <c r="SH262" s="169"/>
      <c r="SI262" s="169"/>
      <c r="SJ262" s="169"/>
      <c r="SK262" s="169"/>
      <c r="SL262" s="169"/>
      <c r="SM262" s="169"/>
      <c r="SN262" s="169"/>
      <c r="SO262" s="169"/>
      <c r="SP262" s="169"/>
      <c r="SQ262" s="169"/>
      <c r="SR262" s="169"/>
      <c r="SS262" s="169"/>
      <c r="ST262" s="169"/>
      <c r="SU262" s="169"/>
      <c r="SV262" s="169"/>
      <c r="SW262" s="169"/>
      <c r="SX262" s="169"/>
      <c r="SY262" s="169"/>
      <c r="SZ262" s="169"/>
      <c r="TA262" s="169"/>
      <c r="TB262" s="169"/>
      <c r="TC262" s="169"/>
      <c r="TD262" s="169"/>
      <c r="TE262" s="169"/>
      <c r="TF262" s="169"/>
      <c r="TG262" s="169"/>
      <c r="TH262" s="169"/>
      <c r="TI262" s="169"/>
      <c r="TJ262" s="169"/>
      <c r="TK262" s="169"/>
      <c r="TL262" s="169"/>
      <c r="TM262" s="169"/>
      <c r="TN262" s="169"/>
      <c r="TO262" s="169"/>
      <c r="TP262" s="169"/>
      <c r="TQ262" s="169"/>
      <c r="TR262" s="169"/>
      <c r="TS262" s="169"/>
      <c r="TT262" s="169"/>
      <c r="TU262" s="169"/>
      <c r="TV262" s="169"/>
      <c r="TW262" s="169"/>
      <c r="TX262" s="169"/>
      <c r="TY262" s="169"/>
      <c r="TZ262" s="169"/>
      <c r="UA262" s="169"/>
      <c r="UB262" s="169"/>
      <c r="UC262" s="169"/>
      <c r="UD262" s="169"/>
      <c r="UE262" s="169"/>
      <c r="UF262" s="169"/>
      <c r="UG262" s="169"/>
      <c r="UH262" s="169"/>
      <c r="UI262" s="169"/>
      <c r="UJ262" s="169"/>
      <c r="UK262" s="169"/>
      <c r="UL262" s="169"/>
      <c r="UM262" s="169"/>
      <c r="UN262" s="169"/>
      <c r="UO262" s="169"/>
      <c r="UP262" s="169"/>
      <c r="UQ262" s="169"/>
      <c r="UR262" s="169"/>
      <c r="US262" s="169"/>
      <c r="UT262" s="169"/>
      <c r="UU262" s="169"/>
      <c r="UV262" s="169"/>
      <c r="UW262" s="169"/>
      <c r="UX262" s="169"/>
      <c r="UY262" s="169"/>
      <c r="UZ262" s="169"/>
      <c r="VA262" s="169"/>
      <c r="VB262" s="169"/>
      <c r="VC262" s="169"/>
      <c r="VD262" s="169"/>
      <c r="VE262" s="169"/>
      <c r="VF262" s="169"/>
      <c r="VG262" s="169"/>
      <c r="VH262" s="169"/>
      <c r="VI262" s="169"/>
      <c r="VJ262" s="169"/>
      <c r="VK262" s="169"/>
      <c r="VL262" s="169"/>
      <c r="VM262" s="169"/>
      <c r="VN262" s="169"/>
      <c r="VO262" s="169"/>
      <c r="VP262" s="169"/>
      <c r="VQ262" s="169"/>
      <c r="VR262" s="169"/>
      <c r="VS262" s="169"/>
      <c r="VT262" s="169"/>
      <c r="VU262" s="169"/>
      <c r="VV262" s="169"/>
      <c r="VW262" s="169"/>
      <c r="VX262" s="169"/>
      <c r="VY262" s="169"/>
      <c r="VZ262" s="169"/>
      <c r="WA262" s="169"/>
      <c r="WB262" s="169"/>
      <c r="WC262" s="169"/>
      <c r="WD262" s="169"/>
      <c r="WE262" s="169"/>
      <c r="WF262" s="169"/>
      <c r="WG262" s="169"/>
      <c r="WH262" s="169"/>
      <c r="WI262" s="169"/>
      <c r="WJ262" s="169"/>
      <c r="WK262" s="169"/>
      <c r="WL262" s="169"/>
      <c r="WM262" s="169"/>
      <c r="WN262" s="169"/>
      <c r="WO262" s="169"/>
      <c r="WP262" s="169"/>
      <c r="WQ262" s="169"/>
      <c r="WR262" s="169"/>
      <c r="WS262" s="169"/>
      <c r="WT262" s="169"/>
      <c r="WU262" s="169"/>
      <c r="WV262" s="169"/>
      <c r="WW262" s="169"/>
      <c r="WX262" s="169"/>
      <c r="WY262" s="169"/>
      <c r="WZ262" s="169"/>
      <c r="XA262" s="169"/>
      <c r="XB262" s="169"/>
      <c r="XC262" s="169"/>
      <c r="XD262" s="169"/>
      <c r="XE262" s="169"/>
      <c r="XF262" s="169"/>
      <c r="XG262" s="169"/>
      <c r="XH262" s="169"/>
      <c r="XI262" s="169"/>
      <c r="XJ262" s="169"/>
      <c r="XK262" s="169"/>
      <c r="XL262" s="169"/>
      <c r="XM262" s="169"/>
      <c r="XN262" s="169"/>
      <c r="XO262" s="169"/>
      <c r="XP262" s="169"/>
      <c r="XQ262" s="169"/>
      <c r="XR262" s="169"/>
      <c r="XS262" s="169"/>
      <c r="XT262" s="169"/>
      <c r="XU262" s="169"/>
      <c r="XV262" s="169"/>
      <c r="XW262" s="169"/>
      <c r="XX262" s="169"/>
      <c r="XY262" s="169"/>
      <c r="XZ262" s="169"/>
      <c r="YA262" s="169"/>
      <c r="YB262" s="169"/>
      <c r="YC262" s="169"/>
      <c r="YD262" s="169"/>
      <c r="YE262" s="169"/>
      <c r="YF262" s="169"/>
      <c r="YG262" s="169"/>
      <c r="YH262" s="169"/>
      <c r="YI262" s="169"/>
      <c r="YJ262" s="169"/>
      <c r="YK262" s="169"/>
      <c r="YL262" s="169"/>
      <c r="YM262" s="169"/>
      <c r="YN262" s="169"/>
      <c r="YO262" s="169"/>
      <c r="YP262" s="169"/>
      <c r="YQ262" s="169"/>
      <c r="YR262" s="169"/>
      <c r="YS262" s="169"/>
      <c r="YT262" s="169"/>
      <c r="YU262" s="169"/>
      <c r="YV262" s="169"/>
      <c r="YW262" s="169"/>
      <c r="YX262" s="169"/>
      <c r="YY262" s="169"/>
      <c r="YZ262" s="169"/>
      <c r="ZA262" s="169"/>
      <c r="ZB262" s="169"/>
      <c r="ZC262" s="169"/>
      <c r="ZD262" s="169"/>
      <c r="ZE262" s="169"/>
      <c r="ZF262" s="169"/>
      <c r="ZG262" s="169"/>
      <c r="ZH262" s="169"/>
      <c r="ZI262" s="169"/>
      <c r="ZJ262" s="169"/>
      <c r="ZK262" s="169"/>
      <c r="ZL262" s="169"/>
      <c r="ZM262" s="169"/>
      <c r="ZN262" s="169"/>
      <c r="ZO262" s="169"/>
      <c r="ZP262" s="169"/>
      <c r="ZQ262" s="169"/>
      <c r="ZR262" s="169"/>
      <c r="ZS262" s="169"/>
      <c r="ZT262" s="169"/>
      <c r="ZU262" s="169"/>
      <c r="ZV262" s="169"/>
      <c r="ZW262" s="169"/>
      <c r="ZX262" s="169"/>
      <c r="ZY262" s="169"/>
      <c r="ZZ262" s="169"/>
      <c r="AAA262" s="169"/>
      <c r="AAB262" s="169"/>
      <c r="AAC262" s="169"/>
      <c r="AAD262" s="169"/>
      <c r="AAE262" s="169"/>
      <c r="AAF262" s="169"/>
      <c r="AAG262" s="169"/>
      <c r="AAH262" s="169"/>
      <c r="AAI262" s="169"/>
      <c r="AAJ262" s="169"/>
      <c r="AAK262" s="169"/>
      <c r="AAL262" s="169"/>
      <c r="AAM262" s="169"/>
      <c r="AAN262" s="169"/>
      <c r="AAO262" s="169"/>
      <c r="AAP262" s="169"/>
      <c r="AAQ262" s="169"/>
      <c r="AAR262" s="169"/>
      <c r="AAS262" s="169"/>
      <c r="AAT262" s="169"/>
      <c r="AAU262" s="169"/>
      <c r="AAV262" s="169"/>
      <c r="AAW262" s="169"/>
      <c r="AAX262" s="169"/>
      <c r="AAY262" s="169"/>
      <c r="AAZ262" s="169"/>
      <c r="ABA262" s="169"/>
      <c r="ABB262" s="169"/>
      <c r="ABC262" s="169"/>
      <c r="ABD262" s="169"/>
      <c r="ABE262" s="169"/>
      <c r="ABF262" s="169"/>
      <c r="ABG262" s="169"/>
      <c r="ABH262" s="169"/>
      <c r="ABI262" s="169"/>
      <c r="ABJ262" s="169"/>
      <c r="ABK262" s="169"/>
      <c r="ABL262" s="169"/>
      <c r="ABM262" s="169"/>
      <c r="ABN262" s="169"/>
      <c r="ABO262" s="169"/>
      <c r="ABP262" s="169"/>
      <c r="ABQ262" s="169"/>
      <c r="ABR262" s="169"/>
      <c r="ABS262" s="169"/>
      <c r="ABT262" s="169"/>
      <c r="ABU262" s="169"/>
      <c r="ABV262" s="169"/>
      <c r="ABW262" s="169"/>
      <c r="ABX262" s="169"/>
      <c r="ABY262" s="169"/>
      <c r="ABZ262" s="169"/>
      <c r="ACA262" s="169"/>
      <c r="ACB262" s="169"/>
      <c r="ACC262" s="169"/>
      <c r="ACD262" s="169"/>
      <c r="ACE262" s="169"/>
      <c r="ACF262" s="169"/>
      <c r="ACG262" s="169"/>
      <c r="ACH262" s="169"/>
      <c r="ACI262" s="169"/>
      <c r="ACJ262" s="169"/>
      <c r="ACK262" s="169"/>
      <c r="ACL262" s="169"/>
      <c r="ACM262" s="169"/>
      <c r="ACN262" s="169"/>
      <c r="ACO262" s="169"/>
      <c r="ACP262" s="169"/>
      <c r="ACQ262" s="169"/>
      <c r="ACR262" s="169"/>
      <c r="ACS262" s="169"/>
      <c r="ACT262" s="169"/>
      <c r="ACU262" s="169"/>
      <c r="ACV262" s="169"/>
      <c r="ACW262" s="169"/>
      <c r="ACX262" s="169"/>
      <c r="ACY262" s="169"/>
      <c r="ACZ262" s="169"/>
      <c r="ADA262" s="169"/>
      <c r="ADB262" s="169"/>
      <c r="ADC262" s="169"/>
      <c r="ADD262" s="169"/>
      <c r="ADE262" s="169"/>
      <c r="ADF262" s="169"/>
      <c r="ADG262" s="169"/>
      <c r="ADH262" s="169"/>
      <c r="ADI262" s="169"/>
      <c r="ADJ262" s="169"/>
      <c r="ADK262" s="169"/>
      <c r="ADL262" s="169"/>
      <c r="ADM262" s="169"/>
      <c r="ADN262" s="169"/>
      <c r="ADO262" s="169"/>
      <c r="ADP262" s="169"/>
      <c r="ADQ262" s="169"/>
      <c r="ADR262" s="169"/>
      <c r="ADS262" s="169"/>
      <c r="ADT262" s="169"/>
      <c r="ADU262" s="169"/>
      <c r="ADV262" s="169"/>
      <c r="ADW262" s="169"/>
      <c r="ADX262" s="169"/>
      <c r="ADY262" s="169"/>
      <c r="ADZ262" s="169"/>
      <c r="AEA262" s="169"/>
      <c r="AEB262" s="169"/>
      <c r="AEC262" s="169"/>
      <c r="AED262" s="169"/>
      <c r="AEE262" s="169"/>
      <c r="AEF262" s="169"/>
      <c r="AEG262" s="169"/>
      <c r="AEH262" s="169"/>
      <c r="AEI262" s="169"/>
      <c r="AEJ262" s="169"/>
      <c r="AEK262" s="169"/>
      <c r="AEL262" s="169"/>
      <c r="AEM262" s="169"/>
      <c r="AEN262" s="169"/>
      <c r="AEO262" s="169"/>
      <c r="AEP262" s="169"/>
      <c r="AEQ262" s="169"/>
      <c r="AER262" s="169"/>
      <c r="AES262" s="169"/>
      <c r="AET262" s="169"/>
      <c r="AEU262" s="169"/>
      <c r="AEV262" s="169"/>
      <c r="AEW262" s="169"/>
      <c r="AEX262" s="169"/>
      <c r="AEY262" s="169"/>
      <c r="AEZ262" s="169"/>
      <c r="AFA262" s="169"/>
      <c r="AFB262" s="169"/>
      <c r="AFC262" s="169"/>
      <c r="AFD262" s="169"/>
      <c r="AFE262" s="169"/>
      <c r="AFF262" s="169"/>
      <c r="AFG262" s="169"/>
      <c r="AFH262" s="169"/>
      <c r="AFI262" s="169"/>
      <c r="AFJ262" s="169"/>
      <c r="AFK262" s="169"/>
      <c r="AFL262" s="169"/>
      <c r="AFM262" s="169"/>
      <c r="AFN262" s="169"/>
      <c r="AFO262" s="169"/>
      <c r="AFP262" s="169"/>
      <c r="AFQ262" s="169"/>
      <c r="AFR262" s="169"/>
      <c r="AFS262" s="169"/>
      <c r="AFT262" s="169"/>
      <c r="AFU262" s="169"/>
      <c r="AFV262" s="169"/>
      <c r="AFW262" s="169"/>
      <c r="AFX262" s="169"/>
      <c r="AFY262" s="169"/>
      <c r="AFZ262" s="169"/>
      <c r="AGA262" s="169"/>
      <c r="AGB262" s="169"/>
      <c r="AGC262" s="169"/>
      <c r="AGD262" s="169"/>
      <c r="AGE262" s="169"/>
      <c r="AGF262" s="169"/>
      <c r="AGG262" s="169"/>
      <c r="AGH262" s="169"/>
      <c r="AGI262" s="169"/>
      <c r="AGJ262" s="169"/>
      <c r="AGK262" s="169"/>
      <c r="AGL262" s="169"/>
      <c r="AGM262" s="169"/>
      <c r="AGN262" s="169"/>
      <c r="AGO262" s="169"/>
      <c r="AGP262" s="169"/>
      <c r="AGQ262" s="169"/>
      <c r="AGR262" s="169"/>
      <c r="AGS262" s="169"/>
      <c r="AGT262" s="169"/>
      <c r="AGU262" s="169"/>
      <c r="AGV262" s="169"/>
      <c r="AGW262" s="169"/>
      <c r="AGX262" s="169"/>
      <c r="AGY262" s="169"/>
      <c r="AGZ262" s="169"/>
      <c r="AHA262" s="169"/>
      <c r="AHB262" s="169"/>
      <c r="AHC262" s="169"/>
      <c r="AHD262" s="169"/>
      <c r="AHE262" s="169"/>
      <c r="AHF262" s="169"/>
      <c r="AHG262" s="169"/>
      <c r="AHH262" s="169"/>
      <c r="AHI262" s="169"/>
      <c r="AHJ262" s="169"/>
      <c r="AHK262" s="169"/>
      <c r="AHL262" s="169"/>
      <c r="AHM262" s="169"/>
      <c r="AHN262" s="169"/>
      <c r="AHO262" s="169"/>
      <c r="AHP262" s="169"/>
      <c r="AHQ262" s="169"/>
      <c r="AHR262" s="169"/>
      <c r="AHS262" s="169"/>
      <c r="AHT262" s="169"/>
      <c r="AHU262" s="169"/>
      <c r="AHV262" s="169"/>
      <c r="AHW262" s="169"/>
      <c r="AHX262" s="169"/>
      <c r="AHY262" s="169"/>
      <c r="AHZ262" s="169"/>
      <c r="AIA262" s="169"/>
      <c r="AIB262" s="169"/>
      <c r="AIC262" s="169"/>
      <c r="AID262" s="169"/>
      <c r="AIE262" s="169"/>
      <c r="AIF262" s="169"/>
      <c r="AIG262" s="169"/>
      <c r="AIH262" s="169"/>
      <c r="AII262" s="169"/>
      <c r="AIJ262" s="169"/>
      <c r="AIK262" s="169"/>
      <c r="AIL262" s="169"/>
      <c r="AIM262" s="169"/>
      <c r="AIN262" s="169"/>
      <c r="AIO262" s="169"/>
      <c r="AIP262" s="169"/>
      <c r="AIQ262" s="169"/>
      <c r="AIR262" s="169"/>
      <c r="AIS262" s="169"/>
      <c r="AIT262" s="169"/>
      <c r="AIU262" s="169"/>
      <c r="AIV262" s="169"/>
      <c r="AIW262" s="169"/>
      <c r="AIX262" s="169"/>
      <c r="AIY262" s="169"/>
      <c r="AIZ262" s="169"/>
      <c r="AJA262" s="169"/>
      <c r="AJB262" s="169"/>
      <c r="AJC262" s="169"/>
      <c r="AJD262" s="169"/>
      <c r="AJE262" s="169"/>
      <c r="AJF262" s="169"/>
      <c r="AJG262" s="169"/>
      <c r="AJH262" s="169"/>
      <c r="AJI262" s="169"/>
      <c r="AJJ262" s="169"/>
      <c r="AJK262" s="169"/>
      <c r="AJL262" s="169"/>
      <c r="AJM262" s="169"/>
      <c r="AJN262" s="169"/>
      <c r="AJO262" s="169"/>
      <c r="AJP262" s="169"/>
      <c r="AJQ262" s="169"/>
      <c r="AJR262" s="169"/>
      <c r="AJS262" s="169"/>
      <c r="AJT262" s="169"/>
      <c r="AJU262" s="169"/>
      <c r="AJV262" s="169"/>
      <c r="AJW262" s="169"/>
      <c r="AJX262" s="169"/>
      <c r="AJY262" s="169"/>
      <c r="AJZ262" s="169"/>
      <c r="AKA262" s="169"/>
      <c r="AKB262" s="169"/>
      <c r="AKC262" s="169"/>
      <c r="AKD262" s="169"/>
      <c r="AKE262" s="169"/>
      <c r="AKF262" s="169"/>
      <c r="AKG262" s="169"/>
      <c r="AKH262" s="169"/>
      <c r="AKI262" s="169"/>
      <c r="AKJ262" s="169"/>
      <c r="AKK262" s="169"/>
      <c r="AKL262" s="169"/>
      <c r="AKM262" s="169"/>
      <c r="AKN262" s="169"/>
      <c r="AKO262" s="169"/>
      <c r="AKP262" s="169"/>
      <c r="AKQ262" s="169"/>
      <c r="AKR262" s="169"/>
      <c r="AKS262" s="169"/>
      <c r="AKT262" s="169"/>
      <c r="AKU262" s="169"/>
      <c r="AKV262" s="169"/>
      <c r="AKW262" s="169"/>
      <c r="AKX262" s="169"/>
      <c r="AKY262" s="169"/>
      <c r="AKZ262" s="169"/>
      <c r="ALA262" s="169"/>
      <c r="ALB262" s="169"/>
      <c r="ALC262" s="169"/>
      <c r="ALD262" s="169"/>
      <c r="ALE262" s="169"/>
      <c r="ALF262" s="169"/>
      <c r="ALG262" s="169"/>
      <c r="ALH262" s="169"/>
      <c r="ALI262" s="169"/>
      <c r="ALJ262" s="169"/>
      <c r="ALK262" s="169"/>
      <c r="ALL262" s="169"/>
      <c r="ALM262" s="169"/>
      <c r="ALN262" s="169"/>
      <c r="ALO262" s="169"/>
      <c r="ALP262" s="169"/>
      <c r="ALQ262" s="169"/>
      <c r="ALR262" s="169"/>
      <c r="ALS262" s="169"/>
      <c r="ALT262" s="169"/>
      <c r="ALU262" s="169"/>
      <c r="ALV262" s="169"/>
      <c r="ALW262" s="169"/>
      <c r="ALX262" s="169"/>
      <c r="ALY262" s="169"/>
      <c r="ALZ262" s="169"/>
      <c r="AMA262" s="169"/>
      <c r="AMB262" s="169"/>
      <c r="AMC262" s="169"/>
      <c r="AMD262" s="169"/>
      <c r="AME262" s="169"/>
      <c r="AMF262" s="169"/>
      <c r="AMG262" s="169"/>
      <c r="AMH262" s="169"/>
      <c r="AMI262" s="169"/>
      <c r="AMJ262" s="169"/>
      <c r="AMK262" s="169"/>
      <c r="AML262" s="169"/>
      <c r="AMM262" s="169"/>
      <c r="AMN262" s="169"/>
      <c r="AMO262" s="169"/>
      <c r="AMP262" s="169"/>
      <c r="AMQ262" s="169"/>
      <c r="AMR262" s="169"/>
      <c r="AMS262" s="169"/>
      <c r="AMT262" s="169"/>
      <c r="AMU262" s="169"/>
      <c r="AMV262" s="169"/>
      <c r="AMW262" s="169"/>
      <c r="AMX262" s="169"/>
      <c r="AMY262" s="169"/>
      <c r="AMZ262" s="169"/>
      <c r="ANA262" s="169"/>
      <c r="ANB262" s="169"/>
      <c r="ANC262" s="169"/>
      <c r="AND262" s="169"/>
      <c r="ANE262" s="169"/>
      <c r="ANF262" s="169"/>
      <c r="ANG262" s="169"/>
      <c r="ANH262" s="169"/>
      <c r="ANI262" s="169"/>
      <c r="ANJ262" s="169"/>
      <c r="ANK262" s="169"/>
      <c r="ANL262" s="169"/>
      <c r="ANM262" s="169"/>
      <c r="ANN262" s="169"/>
      <c r="ANO262" s="169"/>
      <c r="ANP262" s="169"/>
      <c r="ANQ262" s="169"/>
      <c r="ANR262" s="169"/>
      <c r="ANS262" s="169"/>
      <c r="ANT262" s="169"/>
      <c r="ANU262" s="169"/>
      <c r="ANV262" s="169"/>
      <c r="ANW262" s="169"/>
      <c r="ANX262" s="169"/>
      <c r="ANY262" s="169"/>
      <c r="ANZ262" s="169"/>
      <c r="AOA262" s="169"/>
      <c r="AOB262" s="169"/>
      <c r="AOC262" s="169"/>
      <c r="AOD262" s="169"/>
      <c r="AOE262" s="169"/>
      <c r="AOF262" s="169"/>
      <c r="AOG262" s="169"/>
      <c r="AOH262" s="169"/>
      <c r="AOI262" s="169"/>
      <c r="AOJ262" s="169"/>
      <c r="AOK262" s="169"/>
      <c r="AOL262" s="169"/>
      <c r="AOM262" s="169"/>
      <c r="AON262" s="169"/>
      <c r="AOO262" s="169"/>
      <c r="AOP262" s="169"/>
      <c r="AOQ262" s="169"/>
      <c r="AOR262" s="169"/>
      <c r="AOS262" s="169"/>
      <c r="AOT262" s="169"/>
      <c r="AOU262" s="169"/>
      <c r="AOV262" s="169"/>
      <c r="AOW262" s="169"/>
      <c r="AOX262" s="169"/>
      <c r="AOY262" s="169"/>
      <c r="AOZ262" s="169"/>
      <c r="APA262" s="169"/>
      <c r="APB262" s="169"/>
      <c r="APC262" s="169"/>
      <c r="APD262" s="169"/>
      <c r="APE262" s="169"/>
      <c r="APF262" s="169"/>
      <c r="APG262" s="169"/>
      <c r="APH262" s="169"/>
      <c r="API262" s="169"/>
      <c r="APJ262" s="169"/>
      <c r="APK262" s="169"/>
      <c r="APL262" s="169"/>
      <c r="APM262" s="169"/>
      <c r="APN262" s="169"/>
      <c r="APO262" s="169"/>
      <c r="APP262" s="169"/>
      <c r="APQ262" s="169"/>
      <c r="APR262" s="169"/>
      <c r="APS262" s="169"/>
      <c r="APT262" s="169"/>
      <c r="APU262" s="169"/>
      <c r="APV262" s="169"/>
      <c r="APW262" s="169"/>
      <c r="APX262" s="169"/>
      <c r="APY262" s="169"/>
      <c r="APZ262" s="169"/>
      <c r="AQA262" s="169"/>
      <c r="AQB262" s="169"/>
      <c r="AQC262" s="169"/>
      <c r="AQD262" s="169"/>
      <c r="AQE262" s="169"/>
      <c r="AQF262" s="169"/>
      <c r="AQG262" s="169"/>
      <c r="AQH262" s="169"/>
      <c r="AQI262" s="169"/>
      <c r="AQJ262" s="169"/>
      <c r="AQK262" s="169"/>
      <c r="AQL262" s="169"/>
      <c r="AQM262" s="169"/>
      <c r="AQN262" s="169"/>
      <c r="AQO262" s="169"/>
      <c r="AQP262" s="169"/>
      <c r="AQQ262" s="169"/>
      <c r="AQR262" s="169"/>
      <c r="AQS262" s="169"/>
      <c r="AQT262" s="169"/>
      <c r="AQU262" s="169"/>
      <c r="AQV262" s="169"/>
      <c r="AQW262" s="169"/>
      <c r="AQX262" s="169"/>
      <c r="AQY262" s="169"/>
      <c r="AQZ262" s="169"/>
      <c r="ARA262" s="169"/>
      <c r="ARB262" s="169"/>
      <c r="ARC262" s="169"/>
      <c r="ARD262" s="169"/>
      <c r="ARE262" s="169"/>
      <c r="ARF262" s="169"/>
      <c r="ARG262" s="169"/>
      <c r="ARH262" s="169"/>
      <c r="ARI262" s="169"/>
      <c r="ARJ262" s="169"/>
      <c r="ARK262" s="169"/>
      <c r="ARL262" s="169"/>
      <c r="ARM262" s="169"/>
      <c r="ARN262" s="169"/>
      <c r="ARO262" s="169"/>
      <c r="ARP262" s="169"/>
      <c r="ARQ262" s="169"/>
      <c r="ARR262" s="169"/>
      <c r="ARS262" s="169"/>
      <c r="ART262" s="169"/>
      <c r="ARU262" s="169"/>
      <c r="ARV262" s="169"/>
      <c r="ARW262" s="169"/>
      <c r="ARX262" s="169"/>
      <c r="ARY262" s="169"/>
      <c r="ARZ262" s="169"/>
      <c r="ASA262" s="169"/>
      <c r="ASB262" s="169"/>
      <c r="ASC262" s="169"/>
      <c r="ASD262" s="169"/>
      <c r="ASE262" s="169"/>
      <c r="ASF262" s="169"/>
      <c r="ASG262" s="169"/>
      <c r="ASH262" s="169"/>
      <c r="ASI262" s="169"/>
      <c r="ASJ262" s="169"/>
      <c r="ASK262" s="169"/>
      <c r="ASL262" s="169"/>
      <c r="ASM262" s="169"/>
      <c r="ASN262" s="169"/>
      <c r="ASO262" s="169"/>
      <c r="ASP262" s="169"/>
      <c r="ASQ262" s="169"/>
      <c r="ASR262" s="169"/>
      <c r="ASS262" s="169"/>
      <c r="AST262" s="169"/>
      <c r="ASU262" s="169"/>
      <c r="ASV262" s="169"/>
      <c r="ASW262" s="169"/>
      <c r="ASX262" s="169"/>
      <c r="ASY262" s="169"/>
      <c r="ASZ262" s="169"/>
      <c r="ATA262" s="169"/>
      <c r="ATB262" s="169"/>
      <c r="ATC262" s="169"/>
      <c r="ATD262" s="169"/>
      <c r="ATE262" s="169"/>
      <c r="ATF262" s="169"/>
      <c r="ATG262" s="169"/>
      <c r="ATH262" s="169"/>
      <c r="ATI262" s="169"/>
      <c r="ATJ262" s="169"/>
      <c r="ATK262" s="169"/>
      <c r="ATL262" s="169"/>
      <c r="ATM262" s="169"/>
      <c r="ATN262" s="169"/>
      <c r="ATO262" s="169"/>
      <c r="ATP262" s="169"/>
      <c r="ATQ262" s="169"/>
      <c r="ATR262" s="169"/>
      <c r="ATS262" s="169"/>
      <c r="ATT262" s="169"/>
      <c r="ATU262" s="169"/>
      <c r="ATV262" s="169"/>
      <c r="ATW262" s="169"/>
      <c r="ATX262" s="169"/>
      <c r="ATY262" s="169"/>
      <c r="ATZ262" s="169"/>
      <c r="AUA262" s="169"/>
      <c r="AUB262" s="169"/>
      <c r="AUC262" s="169"/>
      <c r="AUD262" s="169"/>
      <c r="AUE262" s="169"/>
      <c r="AUF262" s="169"/>
      <c r="AUG262" s="169"/>
      <c r="AUH262" s="169"/>
      <c r="AUI262" s="169"/>
      <c r="AUJ262" s="169"/>
      <c r="AUK262" s="169"/>
      <c r="AUL262" s="169"/>
      <c r="AUM262" s="169"/>
      <c r="AUN262" s="169"/>
      <c r="AUO262" s="169"/>
      <c r="AUP262" s="169"/>
      <c r="AUQ262" s="169"/>
      <c r="AUR262" s="169"/>
      <c r="AUS262" s="169"/>
      <c r="AUT262" s="169"/>
      <c r="AUU262" s="169"/>
      <c r="AUV262" s="169"/>
      <c r="AUW262" s="169"/>
      <c r="AUX262" s="169"/>
      <c r="AUY262" s="169"/>
      <c r="AUZ262" s="169"/>
      <c r="AVA262" s="169"/>
      <c r="AVB262" s="169"/>
      <c r="AVC262" s="169"/>
      <c r="AVD262" s="169"/>
      <c r="AVE262" s="169"/>
      <c r="AVF262" s="169"/>
      <c r="AVG262" s="169"/>
      <c r="AVH262" s="169"/>
      <c r="AVI262" s="169"/>
      <c r="AVJ262" s="169"/>
      <c r="AVK262" s="169"/>
      <c r="AVL262" s="169"/>
      <c r="AVM262" s="169"/>
      <c r="AVN262" s="169"/>
      <c r="AVO262" s="169"/>
      <c r="AVP262" s="169"/>
      <c r="AVQ262" s="169"/>
      <c r="AVR262" s="169"/>
      <c r="AVS262" s="169"/>
      <c r="AVT262" s="169"/>
      <c r="AVU262" s="169"/>
      <c r="AVV262" s="169"/>
      <c r="AVW262" s="169"/>
      <c r="AVX262" s="169"/>
      <c r="AVY262" s="169"/>
      <c r="AVZ262" s="169"/>
      <c r="AWA262" s="169"/>
      <c r="AWB262" s="169"/>
      <c r="AWC262" s="169"/>
      <c r="AWD262" s="169"/>
      <c r="AWE262" s="169"/>
      <c r="AWF262" s="169"/>
      <c r="AWG262" s="169"/>
      <c r="AWH262" s="169"/>
      <c r="AWI262" s="169"/>
      <c r="AWJ262" s="169"/>
      <c r="AWK262" s="169"/>
      <c r="AWL262" s="169"/>
      <c r="AWM262" s="169"/>
      <c r="AWN262" s="169"/>
      <c r="AWO262" s="169"/>
      <c r="AWP262" s="169"/>
      <c r="AWQ262" s="169"/>
      <c r="AWR262" s="169"/>
      <c r="AWS262" s="169"/>
      <c r="AWT262" s="169"/>
      <c r="AWU262" s="169"/>
      <c r="AWV262" s="169"/>
      <c r="AWW262" s="169"/>
      <c r="AWX262" s="169"/>
      <c r="AWY262" s="169"/>
      <c r="AWZ262" s="169"/>
      <c r="AXA262" s="169"/>
      <c r="AXB262" s="169"/>
      <c r="AXC262" s="169"/>
      <c r="AXD262" s="169"/>
      <c r="AXE262" s="169"/>
      <c r="AXF262" s="169"/>
      <c r="AXG262" s="169"/>
      <c r="AXH262" s="169"/>
      <c r="AXI262" s="169"/>
      <c r="AXJ262" s="169"/>
      <c r="AXK262" s="169"/>
      <c r="AXL262" s="169"/>
      <c r="AXM262" s="169"/>
      <c r="AXN262" s="169"/>
      <c r="AXO262" s="169"/>
      <c r="AXP262" s="169"/>
      <c r="AXQ262" s="169"/>
      <c r="AXR262" s="169"/>
      <c r="AXS262" s="169"/>
      <c r="AXT262" s="169"/>
      <c r="AXU262" s="169"/>
      <c r="AXV262" s="169"/>
      <c r="AXW262" s="169"/>
      <c r="AXX262" s="169"/>
      <c r="AXY262" s="169"/>
      <c r="AXZ262" s="169"/>
      <c r="AYA262" s="169"/>
      <c r="AYB262" s="169"/>
      <c r="AYC262" s="169"/>
      <c r="AYD262" s="169"/>
      <c r="AYE262" s="169"/>
      <c r="AYF262" s="169"/>
      <c r="AYG262" s="169"/>
      <c r="AYH262" s="169"/>
      <c r="AYI262" s="169"/>
      <c r="AYJ262" s="169"/>
      <c r="AYK262" s="169"/>
      <c r="AYL262" s="169"/>
      <c r="AYM262" s="169"/>
      <c r="AYN262" s="169"/>
      <c r="AYO262" s="169"/>
      <c r="AYP262" s="169"/>
      <c r="AYQ262" s="169"/>
      <c r="AYR262" s="169"/>
      <c r="AYS262" s="169"/>
      <c r="AYT262" s="169"/>
      <c r="AYU262" s="169"/>
      <c r="AYV262" s="169"/>
      <c r="AYW262" s="169"/>
      <c r="AYX262" s="169"/>
      <c r="AYY262" s="169"/>
      <c r="AYZ262" s="169"/>
      <c r="AZA262" s="169"/>
      <c r="AZB262" s="169"/>
      <c r="AZC262" s="169"/>
      <c r="AZD262" s="169"/>
      <c r="AZE262" s="169"/>
      <c r="AZF262" s="169"/>
      <c r="AZG262" s="169"/>
      <c r="AZH262" s="169"/>
      <c r="AZI262" s="169"/>
      <c r="AZJ262" s="169"/>
      <c r="AZK262" s="169"/>
      <c r="AZL262" s="169"/>
      <c r="AZM262" s="169"/>
      <c r="AZN262" s="169"/>
      <c r="AZO262" s="169"/>
      <c r="AZP262" s="169"/>
      <c r="AZQ262" s="169"/>
      <c r="AZR262" s="169"/>
      <c r="AZS262" s="169"/>
      <c r="AZT262" s="169"/>
      <c r="AZU262" s="169"/>
      <c r="AZV262" s="169"/>
      <c r="AZW262" s="169"/>
      <c r="AZX262" s="169"/>
      <c r="AZY262" s="169"/>
      <c r="AZZ262" s="169"/>
      <c r="BAA262" s="169"/>
      <c r="BAB262" s="169"/>
      <c r="BAC262" s="169"/>
      <c r="BAD262" s="169"/>
      <c r="BAE262" s="169"/>
      <c r="BAF262" s="169"/>
      <c r="BAG262" s="169"/>
      <c r="BAH262" s="169"/>
      <c r="BAI262" s="169"/>
      <c r="BAJ262" s="169"/>
      <c r="BAK262" s="169"/>
      <c r="BAL262" s="169"/>
      <c r="BAM262" s="169"/>
      <c r="BAN262" s="169"/>
      <c r="BAO262" s="169"/>
      <c r="BAP262" s="169"/>
      <c r="BAQ262" s="169"/>
      <c r="BAR262" s="169"/>
      <c r="BAS262" s="169"/>
      <c r="BAT262" s="169"/>
      <c r="BAU262" s="169"/>
      <c r="BAV262" s="169"/>
      <c r="BAW262" s="169"/>
      <c r="BAX262" s="169"/>
      <c r="BAY262" s="169"/>
      <c r="BAZ262" s="169"/>
      <c r="BBA262" s="169"/>
      <c r="BBB262" s="169"/>
      <c r="BBC262" s="169"/>
      <c r="BBD262" s="169"/>
      <c r="BBE262" s="169"/>
      <c r="BBF262" s="169"/>
      <c r="BBG262" s="169"/>
      <c r="BBH262" s="169"/>
      <c r="BBI262" s="169"/>
      <c r="BBJ262" s="169"/>
      <c r="BBK262" s="169"/>
      <c r="BBL262" s="169"/>
      <c r="BBM262" s="169"/>
      <c r="BBN262" s="169"/>
      <c r="BBO262" s="169"/>
      <c r="BBP262" s="169"/>
      <c r="BBQ262" s="169"/>
      <c r="BBR262" s="169"/>
      <c r="BBS262" s="169"/>
      <c r="BBT262" s="169"/>
      <c r="BBU262" s="169"/>
      <c r="BBV262" s="169"/>
      <c r="BBW262" s="169"/>
      <c r="BBX262" s="169"/>
      <c r="BBY262" s="169"/>
      <c r="BBZ262" s="169"/>
      <c r="BCA262" s="169"/>
      <c r="BCB262" s="169"/>
      <c r="BCC262" s="169"/>
      <c r="BCD262" s="169"/>
      <c r="BCE262" s="169"/>
      <c r="BCF262" s="169"/>
      <c r="BCG262" s="169"/>
      <c r="BCH262" s="169"/>
      <c r="BCI262" s="169"/>
      <c r="BCJ262" s="169"/>
      <c r="BCK262" s="169"/>
      <c r="BCL262" s="169"/>
      <c r="BCM262" s="169"/>
      <c r="BCN262" s="169"/>
      <c r="BCO262" s="169"/>
      <c r="BCP262" s="169"/>
      <c r="BCQ262" s="169"/>
      <c r="BCR262" s="169"/>
      <c r="BCS262" s="169"/>
      <c r="BCT262" s="169"/>
      <c r="BCU262" s="169"/>
      <c r="BCV262" s="169"/>
      <c r="BCW262" s="169"/>
      <c r="BCX262" s="169"/>
      <c r="BCY262" s="169"/>
      <c r="BCZ262" s="169"/>
      <c r="BDA262" s="169"/>
      <c r="BDB262" s="169"/>
      <c r="BDC262" s="169"/>
      <c r="BDD262" s="169"/>
      <c r="BDE262" s="169"/>
      <c r="BDF262" s="169"/>
      <c r="BDG262" s="169"/>
      <c r="BDH262" s="169"/>
      <c r="BDI262" s="169"/>
      <c r="BDJ262" s="169"/>
      <c r="BDK262" s="169"/>
      <c r="BDL262" s="169"/>
      <c r="BDM262" s="169"/>
      <c r="BDN262" s="169"/>
      <c r="BDO262" s="169"/>
      <c r="BDP262" s="169"/>
      <c r="BDQ262" s="169"/>
      <c r="BDR262" s="169"/>
      <c r="BDS262" s="169"/>
      <c r="BDT262" s="169"/>
      <c r="BDU262" s="169"/>
      <c r="BDV262" s="169"/>
      <c r="BDW262" s="169"/>
      <c r="BDX262" s="169"/>
      <c r="BDY262" s="169"/>
      <c r="BDZ262" s="169"/>
      <c r="BEA262" s="169"/>
      <c r="BEB262" s="169"/>
      <c r="BEC262" s="169"/>
      <c r="BED262" s="169"/>
      <c r="BEE262" s="169"/>
      <c r="BEF262" s="169"/>
      <c r="BEG262" s="169"/>
      <c r="BEH262" s="169"/>
      <c r="BEI262" s="169"/>
      <c r="BEJ262" s="169"/>
      <c r="BEK262" s="169"/>
      <c r="BEL262" s="169"/>
      <c r="BEM262" s="169"/>
      <c r="BEN262" s="169"/>
      <c r="BEO262" s="169"/>
      <c r="BEP262" s="169"/>
      <c r="BEQ262" s="169"/>
      <c r="BER262" s="169"/>
      <c r="BES262" s="169"/>
      <c r="BET262" s="169"/>
      <c r="BEU262" s="169"/>
      <c r="BEV262" s="169"/>
      <c r="BEW262" s="169"/>
      <c r="BEX262" s="169"/>
      <c r="BEY262" s="169"/>
      <c r="BEZ262" s="169"/>
      <c r="BFA262" s="169"/>
      <c r="BFB262" s="169"/>
      <c r="BFC262" s="169"/>
      <c r="BFD262" s="169"/>
      <c r="BFE262" s="169"/>
      <c r="BFF262" s="169"/>
      <c r="BFG262" s="169"/>
      <c r="BFH262" s="169"/>
      <c r="BFI262" s="169"/>
      <c r="BFJ262" s="169"/>
      <c r="BFK262" s="169"/>
      <c r="BFL262" s="169"/>
      <c r="BFM262" s="169"/>
      <c r="BFN262" s="169"/>
      <c r="BFO262" s="169"/>
      <c r="BFP262" s="169"/>
      <c r="BFQ262" s="169"/>
      <c r="BFR262" s="169"/>
      <c r="BFS262" s="169"/>
      <c r="BFT262" s="169"/>
      <c r="BFU262" s="169"/>
      <c r="BFV262" s="169"/>
      <c r="BFW262" s="169"/>
      <c r="BFX262" s="169"/>
      <c r="BFY262" s="169"/>
      <c r="BFZ262" s="169"/>
      <c r="BGA262" s="169"/>
      <c r="BGB262" s="169"/>
      <c r="BGC262" s="169"/>
      <c r="BGD262" s="169"/>
      <c r="BGE262" s="169"/>
      <c r="BGF262" s="169"/>
      <c r="BGG262" s="169"/>
      <c r="BGH262" s="169"/>
      <c r="BGI262" s="169"/>
      <c r="BGJ262" s="169"/>
      <c r="BGK262" s="169"/>
      <c r="BGL262" s="169"/>
      <c r="BGM262" s="169"/>
      <c r="BGN262" s="169"/>
      <c r="BGO262" s="169"/>
      <c r="BGP262" s="169"/>
      <c r="BGQ262" s="169"/>
      <c r="BGR262" s="169"/>
      <c r="BGS262" s="169"/>
      <c r="BGT262" s="169"/>
      <c r="BGU262" s="169"/>
      <c r="BGV262" s="169"/>
      <c r="BGW262" s="169"/>
      <c r="BGX262" s="169"/>
      <c r="BGY262" s="169"/>
      <c r="BGZ262" s="169"/>
      <c r="BHA262" s="169"/>
      <c r="BHB262" s="169"/>
      <c r="BHC262" s="169"/>
      <c r="BHD262" s="169"/>
      <c r="BHE262" s="169"/>
      <c r="BHF262" s="169"/>
      <c r="BHG262" s="169"/>
      <c r="BHH262" s="169"/>
      <c r="BHI262" s="169"/>
      <c r="BHJ262" s="169"/>
      <c r="BHK262" s="169"/>
      <c r="BHL262" s="169"/>
      <c r="BHM262" s="169"/>
      <c r="BHN262" s="169"/>
      <c r="BHO262" s="169"/>
      <c r="BHP262" s="169"/>
      <c r="BHQ262" s="169"/>
      <c r="BHR262" s="169"/>
      <c r="BHS262" s="169"/>
      <c r="BHT262" s="169"/>
      <c r="BHU262" s="169"/>
      <c r="BHV262" s="169"/>
      <c r="BHW262" s="169"/>
      <c r="BHX262" s="169"/>
      <c r="BHY262" s="169"/>
      <c r="BHZ262" s="169"/>
      <c r="BIA262" s="169"/>
      <c r="BIB262" s="169"/>
      <c r="BIC262" s="169"/>
      <c r="BID262" s="169"/>
      <c r="BIE262" s="169"/>
      <c r="BIF262" s="169"/>
      <c r="BIG262" s="169"/>
      <c r="BIH262" s="169"/>
      <c r="BII262" s="169"/>
      <c r="BIJ262" s="169"/>
      <c r="BIK262" s="169"/>
      <c r="BIL262" s="169"/>
      <c r="BIM262" s="169"/>
      <c r="BIN262" s="169"/>
      <c r="BIO262" s="169"/>
      <c r="BIP262" s="169"/>
      <c r="BIQ262" s="169"/>
      <c r="BIR262" s="169"/>
      <c r="BIS262" s="169"/>
      <c r="BIT262" s="169"/>
      <c r="BIU262" s="169"/>
      <c r="BIV262" s="169"/>
      <c r="BIW262" s="169"/>
      <c r="BIX262" s="169"/>
      <c r="BIY262" s="169"/>
      <c r="BIZ262" s="169"/>
      <c r="BJA262" s="169"/>
      <c r="BJB262" s="169"/>
      <c r="BJC262" s="169"/>
      <c r="BJD262" s="169"/>
      <c r="BJE262" s="169"/>
      <c r="BJF262" s="169"/>
      <c r="BJG262" s="169"/>
      <c r="BJH262" s="169"/>
      <c r="BJI262" s="169"/>
      <c r="BJJ262" s="169"/>
      <c r="BJK262" s="169"/>
      <c r="BJL262" s="169"/>
      <c r="BJM262" s="169"/>
      <c r="BJN262" s="169"/>
      <c r="BJO262" s="169"/>
      <c r="BJP262" s="169"/>
      <c r="BJQ262" s="169"/>
      <c r="BJR262" s="169"/>
      <c r="BJS262" s="169"/>
      <c r="BJT262" s="169"/>
      <c r="BJU262" s="169"/>
      <c r="BJV262" s="169"/>
      <c r="BJW262" s="169"/>
      <c r="BJX262" s="169"/>
      <c r="BJY262" s="169"/>
      <c r="BJZ262" s="169"/>
      <c r="BKA262" s="169"/>
      <c r="BKB262" s="169"/>
      <c r="BKC262" s="169"/>
      <c r="BKD262" s="169"/>
      <c r="BKE262" s="169"/>
      <c r="BKF262" s="169"/>
      <c r="BKG262" s="169"/>
      <c r="BKH262" s="169"/>
      <c r="BKI262" s="169"/>
      <c r="BKJ262" s="169"/>
      <c r="BKK262" s="169"/>
      <c r="BKL262" s="169"/>
      <c r="BKM262" s="169"/>
      <c r="BKN262" s="169"/>
      <c r="BKO262" s="169"/>
      <c r="BKP262" s="169"/>
      <c r="BKQ262" s="169"/>
      <c r="BKR262" s="169"/>
      <c r="BKS262" s="169"/>
      <c r="BKT262" s="169"/>
      <c r="BKU262" s="169"/>
      <c r="BKV262" s="169"/>
      <c r="BKW262" s="169"/>
      <c r="BKX262" s="169"/>
      <c r="BKY262" s="169"/>
      <c r="BKZ262" s="169"/>
      <c r="BLA262" s="169"/>
      <c r="BLB262" s="169"/>
      <c r="BLC262" s="169"/>
      <c r="BLD262" s="169"/>
      <c r="BLE262" s="169"/>
      <c r="BLF262" s="169"/>
      <c r="BLG262" s="169"/>
      <c r="BLH262" s="169"/>
      <c r="BLI262" s="169"/>
      <c r="BLJ262" s="169"/>
      <c r="BLK262" s="169"/>
      <c r="BLL262" s="169"/>
      <c r="BLM262" s="169"/>
      <c r="BLN262" s="169"/>
      <c r="BLO262" s="169"/>
      <c r="BLP262" s="169"/>
      <c r="BLQ262" s="169"/>
      <c r="BLR262" s="169"/>
      <c r="BLS262" s="169"/>
      <c r="BLT262" s="169"/>
      <c r="BLU262" s="169"/>
      <c r="BLV262" s="169"/>
      <c r="BLW262" s="169"/>
      <c r="BLX262" s="169"/>
      <c r="BLY262" s="169"/>
      <c r="BLZ262" s="169"/>
      <c r="BMA262" s="169"/>
      <c r="BMB262" s="169"/>
      <c r="BMC262" s="169"/>
      <c r="BMD262" s="169"/>
      <c r="BME262" s="169"/>
      <c r="BMF262" s="169"/>
      <c r="BMG262" s="169"/>
      <c r="BMH262" s="169"/>
      <c r="BMI262" s="169"/>
      <c r="BMJ262" s="169"/>
      <c r="BMK262" s="169"/>
      <c r="BML262" s="169"/>
      <c r="BMM262" s="169"/>
      <c r="BMN262" s="169"/>
      <c r="BMO262" s="169"/>
      <c r="BMP262" s="169"/>
      <c r="BMQ262" s="169"/>
      <c r="BMR262" s="169"/>
      <c r="BMS262" s="169"/>
      <c r="BMT262" s="169"/>
      <c r="BMU262" s="169"/>
      <c r="BMV262" s="169"/>
      <c r="BMW262" s="169"/>
      <c r="BMX262" s="169"/>
      <c r="BMY262" s="169"/>
      <c r="BMZ262" s="169"/>
      <c r="BNA262" s="169"/>
      <c r="BNB262" s="169"/>
      <c r="BNC262" s="169"/>
      <c r="BND262" s="169"/>
      <c r="BNE262" s="169"/>
      <c r="BNF262" s="169"/>
      <c r="BNG262" s="169"/>
      <c r="BNH262" s="169"/>
      <c r="BNI262" s="169"/>
      <c r="BNJ262" s="169"/>
      <c r="BNK262" s="169"/>
      <c r="BNL262" s="169"/>
      <c r="BNM262" s="169"/>
      <c r="BNN262" s="169"/>
      <c r="BNO262" s="169"/>
      <c r="BNP262" s="169"/>
      <c r="BNQ262" s="169"/>
      <c r="BNR262" s="169"/>
      <c r="BNS262" s="169"/>
      <c r="BNT262" s="169"/>
      <c r="BNU262" s="169"/>
      <c r="BNV262" s="169"/>
      <c r="BNW262" s="169"/>
      <c r="BNX262" s="169"/>
      <c r="BNY262" s="169"/>
      <c r="BNZ262" s="169"/>
      <c r="BOA262" s="169"/>
      <c r="BOB262" s="169"/>
      <c r="BOC262" s="169"/>
      <c r="BOD262" s="169"/>
      <c r="BOE262" s="169"/>
      <c r="BOF262" s="169"/>
      <c r="BOG262" s="169"/>
      <c r="BOH262" s="169"/>
      <c r="BOI262" s="169"/>
      <c r="BOJ262" s="169"/>
      <c r="BOK262" s="169"/>
      <c r="BOL262" s="169"/>
      <c r="BOM262" s="169"/>
      <c r="BON262" s="169"/>
      <c r="BOO262" s="169"/>
      <c r="BOP262" s="169"/>
      <c r="BOQ262" s="169"/>
      <c r="BOR262" s="169"/>
      <c r="BOS262" s="169"/>
      <c r="BOT262" s="169"/>
      <c r="BOU262" s="169"/>
      <c r="BOV262" s="169"/>
      <c r="BOW262" s="169"/>
      <c r="BOX262" s="169"/>
      <c r="BOY262" s="169"/>
      <c r="BOZ262" s="169"/>
      <c r="BPA262" s="169"/>
      <c r="BPB262" s="169"/>
      <c r="BPC262" s="169"/>
      <c r="BPD262" s="169"/>
      <c r="BPE262" s="169"/>
      <c r="BPF262" s="169"/>
      <c r="BPG262" s="169"/>
      <c r="BPH262" s="169"/>
      <c r="BPI262" s="169"/>
      <c r="BPJ262" s="169"/>
      <c r="BPK262" s="169"/>
      <c r="BPL262" s="169"/>
      <c r="BPM262" s="169"/>
      <c r="BPN262" s="169"/>
      <c r="BPO262" s="169"/>
      <c r="BPP262" s="169"/>
      <c r="BPQ262" s="169"/>
      <c r="BPR262" s="169"/>
      <c r="BPS262" s="169"/>
      <c r="BPT262" s="169"/>
      <c r="BPU262" s="169"/>
      <c r="BPV262" s="169"/>
      <c r="BPW262" s="169"/>
      <c r="BPX262" s="169"/>
      <c r="BPY262" s="169"/>
      <c r="BPZ262" s="169"/>
      <c r="BQA262" s="169"/>
      <c r="BQB262" s="169"/>
      <c r="BQC262" s="169"/>
      <c r="BQD262" s="169"/>
      <c r="BQE262" s="169"/>
      <c r="BQF262" s="169"/>
      <c r="BQG262" s="169"/>
      <c r="BQH262" s="169"/>
      <c r="BQI262" s="169"/>
      <c r="BQJ262" s="169"/>
      <c r="BQK262" s="169"/>
      <c r="BQL262" s="169"/>
      <c r="BQM262" s="169"/>
      <c r="BQN262" s="169"/>
      <c r="BQO262" s="169"/>
      <c r="BQP262" s="169"/>
      <c r="BQQ262" s="169"/>
      <c r="BQR262" s="169"/>
      <c r="BQS262" s="169"/>
      <c r="BQT262" s="169"/>
      <c r="BQU262" s="169"/>
      <c r="BQV262" s="169"/>
      <c r="BQW262" s="169"/>
      <c r="BQX262" s="169"/>
      <c r="BQY262" s="169"/>
      <c r="BQZ262" s="169"/>
      <c r="BRA262" s="169"/>
      <c r="BRB262" s="169"/>
      <c r="BRC262" s="169"/>
      <c r="BRD262" s="169"/>
      <c r="BRE262" s="169"/>
      <c r="BRF262" s="169"/>
      <c r="BRG262" s="169"/>
      <c r="BRH262" s="169"/>
      <c r="BRI262" s="169"/>
      <c r="BRJ262" s="169"/>
      <c r="BRK262" s="169"/>
      <c r="BRL262" s="169"/>
      <c r="BRM262" s="169"/>
      <c r="BRN262" s="169"/>
      <c r="BRO262" s="169"/>
      <c r="BRP262" s="169"/>
      <c r="BRQ262" s="169"/>
      <c r="BRR262" s="169"/>
      <c r="BRS262" s="169"/>
      <c r="BRT262" s="169"/>
      <c r="BRU262" s="169"/>
      <c r="BRV262" s="169"/>
      <c r="BRW262" s="169"/>
      <c r="BRX262" s="169"/>
      <c r="BRY262" s="169"/>
      <c r="BRZ262" s="169"/>
      <c r="BSA262" s="169"/>
      <c r="BSB262" s="169"/>
      <c r="BSC262" s="169"/>
      <c r="BSD262" s="169"/>
      <c r="BSE262" s="169"/>
      <c r="BSF262" s="169"/>
      <c r="BSG262" s="169"/>
      <c r="BSH262" s="169"/>
      <c r="BSI262" s="169"/>
      <c r="BSJ262" s="169"/>
      <c r="BSK262" s="169"/>
      <c r="BSL262" s="169"/>
      <c r="BSM262" s="169"/>
      <c r="BSN262" s="169"/>
      <c r="BSO262" s="169"/>
      <c r="BSP262" s="169"/>
      <c r="BSQ262" s="169"/>
      <c r="BSR262" s="169"/>
      <c r="BSS262" s="169"/>
      <c r="BST262" s="169"/>
      <c r="BSU262" s="169"/>
      <c r="BSV262" s="169"/>
      <c r="BSW262" s="169"/>
      <c r="BSX262" s="169"/>
      <c r="BSY262" s="169"/>
      <c r="BSZ262" s="169"/>
      <c r="BTA262" s="169"/>
      <c r="BTB262" s="169"/>
      <c r="BTC262" s="169"/>
      <c r="BTD262" s="169"/>
      <c r="BTE262" s="169"/>
      <c r="BTF262" s="169"/>
      <c r="BTG262" s="169"/>
      <c r="BTH262" s="169"/>
      <c r="BTI262" s="169"/>
      <c r="BTJ262" s="169"/>
      <c r="BTK262" s="169"/>
      <c r="BTL262" s="169"/>
      <c r="BTM262" s="169"/>
      <c r="BTN262" s="169"/>
      <c r="BTO262" s="169"/>
      <c r="BTP262" s="169"/>
      <c r="BTQ262" s="169"/>
      <c r="BTR262" s="169"/>
      <c r="BTS262" s="169"/>
      <c r="BTT262" s="169"/>
      <c r="BTU262" s="169"/>
      <c r="BTV262" s="169"/>
      <c r="BTW262" s="169"/>
      <c r="BTX262" s="169"/>
      <c r="BTY262" s="169"/>
      <c r="BTZ262" s="169"/>
      <c r="BUA262" s="169"/>
      <c r="BUB262" s="169"/>
      <c r="BUC262" s="169"/>
      <c r="BUD262" s="169"/>
      <c r="BUE262" s="169"/>
      <c r="BUF262" s="169"/>
      <c r="BUG262" s="169"/>
      <c r="BUH262" s="169"/>
      <c r="BUI262" s="169"/>
      <c r="BUJ262" s="169"/>
      <c r="BUK262" s="169"/>
      <c r="BUL262" s="169"/>
      <c r="BUM262" s="169"/>
      <c r="BUN262" s="169"/>
      <c r="BUO262" s="169"/>
      <c r="BUP262" s="169"/>
      <c r="BUQ262" s="169"/>
      <c r="BUR262" s="169"/>
      <c r="BUS262" s="169"/>
      <c r="BUT262" s="169"/>
      <c r="BUU262" s="169"/>
      <c r="BUV262" s="169"/>
      <c r="BUW262" s="169"/>
      <c r="BUX262" s="169"/>
      <c r="BUY262" s="169"/>
      <c r="BUZ262" s="169"/>
      <c r="BVA262" s="169"/>
      <c r="BVB262" s="169"/>
      <c r="BVC262" s="169"/>
      <c r="BVD262" s="169"/>
      <c r="BVE262" s="169"/>
      <c r="BVF262" s="169"/>
      <c r="BVG262" s="169"/>
      <c r="BVH262" s="169"/>
      <c r="BVI262" s="169"/>
      <c r="BVJ262" s="169"/>
      <c r="BVK262" s="169"/>
      <c r="BVL262" s="169"/>
      <c r="BVM262" s="169"/>
      <c r="BVN262" s="169"/>
      <c r="BVO262" s="169"/>
      <c r="BVP262" s="169"/>
      <c r="BVQ262" s="169"/>
      <c r="BVR262" s="169"/>
      <c r="BVS262" s="169"/>
      <c r="BVT262" s="169"/>
      <c r="BVU262" s="169"/>
      <c r="BVV262" s="169"/>
      <c r="BVW262" s="169"/>
      <c r="BVX262" s="169"/>
      <c r="BVY262" s="169"/>
      <c r="BVZ262" s="169"/>
      <c r="BWA262" s="169"/>
      <c r="BWB262" s="169"/>
      <c r="BWC262" s="169"/>
      <c r="BWD262" s="169"/>
      <c r="BWE262" s="169"/>
      <c r="BWF262" s="169"/>
      <c r="BWG262" s="169"/>
      <c r="BWH262" s="169"/>
      <c r="BWI262" s="169"/>
      <c r="BWJ262" s="169"/>
      <c r="BWK262" s="169"/>
      <c r="BWL262" s="169"/>
      <c r="BWM262" s="169"/>
      <c r="BWN262" s="169"/>
      <c r="BWO262" s="169"/>
      <c r="BWP262" s="169"/>
      <c r="BWQ262" s="169"/>
      <c r="BWR262" s="169"/>
      <c r="BWS262" s="169"/>
      <c r="BWT262" s="169"/>
      <c r="BWU262" s="169"/>
      <c r="BWV262" s="169"/>
      <c r="BWW262" s="169"/>
      <c r="BWX262" s="169"/>
      <c r="BWY262" s="169"/>
      <c r="BWZ262" s="169"/>
      <c r="BXA262" s="169"/>
      <c r="BXB262" s="169"/>
      <c r="BXC262" s="169"/>
      <c r="BXD262" s="169"/>
      <c r="BXE262" s="169"/>
      <c r="BXF262" s="169"/>
      <c r="BXG262" s="169"/>
      <c r="BXH262" s="169"/>
      <c r="BXI262" s="169"/>
      <c r="BXJ262" s="169"/>
      <c r="BXK262" s="169"/>
      <c r="BXL262" s="169"/>
      <c r="BXM262" s="169"/>
      <c r="BXN262" s="169"/>
      <c r="BXO262" s="169"/>
      <c r="BXP262" s="169"/>
      <c r="BXQ262" s="169"/>
      <c r="BXR262" s="169"/>
      <c r="BXS262" s="169"/>
      <c r="BXT262" s="169"/>
      <c r="BXU262" s="169"/>
      <c r="BXV262" s="169"/>
      <c r="BXW262" s="169"/>
      <c r="BXX262" s="169"/>
      <c r="BXY262" s="169"/>
      <c r="BXZ262" s="169"/>
      <c r="BYA262" s="169"/>
      <c r="BYB262" s="169"/>
      <c r="BYC262" s="169"/>
      <c r="BYD262" s="169"/>
      <c r="BYE262" s="169"/>
      <c r="BYF262" s="169"/>
      <c r="BYG262" s="169"/>
      <c r="BYH262" s="169"/>
      <c r="BYI262" s="169"/>
      <c r="BYJ262" s="169"/>
      <c r="BYK262" s="169"/>
      <c r="BYL262" s="169"/>
      <c r="BYM262" s="169"/>
      <c r="BYN262" s="169"/>
      <c r="BYO262" s="169"/>
      <c r="BYP262" s="169"/>
      <c r="BYQ262" s="169"/>
      <c r="BYR262" s="169"/>
      <c r="BYS262" s="169"/>
      <c r="BYT262" s="169"/>
      <c r="BYU262" s="169"/>
      <c r="BYV262" s="169"/>
      <c r="BYW262" s="169"/>
      <c r="BYX262" s="169"/>
      <c r="BYY262" s="169"/>
      <c r="BYZ262" s="169"/>
      <c r="BZA262" s="169"/>
      <c r="BZB262" s="169"/>
      <c r="BZC262" s="169"/>
      <c r="BZD262" s="169"/>
      <c r="BZE262" s="169"/>
      <c r="BZF262" s="169"/>
      <c r="BZG262" s="169"/>
      <c r="BZH262" s="169"/>
      <c r="BZI262" s="169"/>
      <c r="BZJ262" s="169"/>
      <c r="BZK262" s="169"/>
      <c r="BZL262" s="169"/>
      <c r="BZM262" s="169"/>
      <c r="BZN262" s="169"/>
      <c r="BZO262" s="169"/>
      <c r="BZP262" s="169"/>
      <c r="BZQ262" s="169"/>
      <c r="BZR262" s="169"/>
      <c r="BZS262" s="169"/>
      <c r="BZT262" s="169"/>
      <c r="BZU262" s="169"/>
      <c r="BZV262" s="169"/>
      <c r="BZW262" s="169"/>
      <c r="BZX262" s="169"/>
      <c r="BZY262" s="169"/>
      <c r="BZZ262" s="169"/>
      <c r="CAA262" s="169"/>
      <c r="CAB262" s="169"/>
      <c r="CAC262" s="169"/>
      <c r="CAD262" s="169"/>
      <c r="CAE262" s="169"/>
      <c r="CAF262" s="169"/>
      <c r="CAG262" s="169"/>
      <c r="CAH262" s="169"/>
      <c r="CAI262" s="169"/>
      <c r="CAJ262" s="169"/>
      <c r="CAK262" s="169"/>
      <c r="CAL262" s="169"/>
      <c r="CAM262" s="169"/>
      <c r="CAN262" s="169"/>
      <c r="CAO262" s="169"/>
      <c r="CAP262" s="169"/>
      <c r="CAQ262" s="169"/>
      <c r="CAR262" s="169"/>
      <c r="CAS262" s="169"/>
      <c r="CAT262" s="169"/>
      <c r="CAU262" s="169"/>
      <c r="CAV262" s="169"/>
      <c r="CAW262" s="169"/>
      <c r="CAX262" s="169"/>
      <c r="CAY262" s="169"/>
      <c r="CAZ262" s="169"/>
      <c r="CBA262" s="169"/>
      <c r="CBB262" s="169"/>
      <c r="CBC262" s="169"/>
      <c r="CBD262" s="169"/>
      <c r="CBE262" s="169"/>
      <c r="CBF262" s="169"/>
      <c r="CBG262" s="169"/>
      <c r="CBH262" s="169"/>
      <c r="CBI262" s="169"/>
      <c r="CBJ262" s="169"/>
      <c r="CBK262" s="169"/>
      <c r="CBL262" s="169"/>
      <c r="CBM262" s="169"/>
      <c r="CBN262" s="169"/>
      <c r="CBO262" s="169"/>
      <c r="CBP262" s="169"/>
      <c r="CBQ262" s="169"/>
      <c r="CBR262" s="169"/>
      <c r="CBS262" s="169"/>
      <c r="CBT262" s="169"/>
      <c r="CBU262" s="169"/>
      <c r="CBV262" s="169"/>
      <c r="CBW262" s="169"/>
      <c r="CBX262" s="169"/>
      <c r="CBY262" s="169"/>
      <c r="CBZ262" s="169"/>
      <c r="CCA262" s="169"/>
      <c r="CCB262" s="169"/>
      <c r="CCC262" s="169"/>
      <c r="CCD262" s="169"/>
      <c r="CCE262" s="169"/>
      <c r="CCF262" s="169"/>
      <c r="CCG262" s="169"/>
      <c r="CCH262" s="169"/>
      <c r="CCI262" s="169"/>
      <c r="CCJ262" s="169"/>
      <c r="CCK262" s="169"/>
      <c r="CCL262" s="169"/>
      <c r="CCM262" s="169"/>
      <c r="CCN262" s="169"/>
      <c r="CCO262" s="169"/>
      <c r="CCP262" s="169"/>
      <c r="CCQ262" s="169"/>
      <c r="CCR262" s="169"/>
      <c r="CCS262" s="169"/>
      <c r="CCT262" s="169"/>
      <c r="CCU262" s="169"/>
      <c r="CCV262" s="169"/>
      <c r="CCW262" s="169"/>
      <c r="CCX262" s="169"/>
      <c r="CCY262" s="169"/>
      <c r="CCZ262" s="169"/>
      <c r="CDA262" s="169"/>
      <c r="CDB262" s="169"/>
      <c r="CDC262" s="169"/>
      <c r="CDD262" s="169"/>
      <c r="CDE262" s="169"/>
      <c r="CDF262" s="169"/>
      <c r="CDG262" s="169"/>
      <c r="CDH262" s="169"/>
      <c r="CDI262" s="169"/>
      <c r="CDJ262" s="169"/>
      <c r="CDK262" s="169"/>
      <c r="CDL262" s="169"/>
      <c r="CDM262" s="169"/>
      <c r="CDN262" s="169"/>
      <c r="CDO262" s="169"/>
      <c r="CDP262" s="169"/>
      <c r="CDQ262" s="169"/>
      <c r="CDR262" s="169"/>
      <c r="CDS262" s="169"/>
      <c r="CDT262" s="169"/>
      <c r="CDU262" s="169"/>
      <c r="CDV262" s="169"/>
      <c r="CDW262" s="169"/>
      <c r="CDX262" s="169"/>
      <c r="CDY262" s="169"/>
      <c r="CDZ262" s="169"/>
      <c r="CEA262" s="169"/>
      <c r="CEB262" s="169"/>
      <c r="CEC262" s="169"/>
      <c r="CED262" s="169"/>
      <c r="CEE262" s="169"/>
      <c r="CEF262" s="169"/>
      <c r="CEG262" s="169"/>
      <c r="CEH262" s="169"/>
      <c r="CEI262" s="169"/>
      <c r="CEJ262" s="169"/>
      <c r="CEK262" s="169"/>
      <c r="CEL262" s="169"/>
      <c r="CEM262" s="169"/>
      <c r="CEN262" s="169"/>
      <c r="CEO262" s="169"/>
      <c r="CEP262" s="169"/>
      <c r="CEQ262" s="169"/>
      <c r="CER262" s="169"/>
      <c r="CES262" s="169"/>
      <c r="CET262" s="169"/>
      <c r="CEU262" s="169"/>
      <c r="CEV262" s="169"/>
      <c r="CEW262" s="169"/>
      <c r="CEX262" s="169"/>
      <c r="CEY262" s="169"/>
      <c r="CEZ262" s="169"/>
      <c r="CFA262" s="169"/>
      <c r="CFB262" s="169"/>
      <c r="CFC262" s="169"/>
      <c r="CFD262" s="169"/>
      <c r="CFE262" s="169"/>
      <c r="CFF262" s="169"/>
      <c r="CFG262" s="169"/>
      <c r="CFH262" s="169"/>
      <c r="CFI262" s="169"/>
      <c r="CFJ262" s="169"/>
      <c r="CFK262" s="169"/>
      <c r="CFL262" s="169"/>
      <c r="CFM262" s="169"/>
      <c r="CFN262" s="169"/>
      <c r="CFO262" s="169"/>
      <c r="CFP262" s="169"/>
      <c r="CFQ262" s="169"/>
      <c r="CFR262" s="169"/>
      <c r="CFS262" s="169"/>
      <c r="CFT262" s="169"/>
      <c r="CFU262" s="169"/>
      <c r="CFV262" s="169"/>
      <c r="CFW262" s="169"/>
      <c r="CFX262" s="169"/>
      <c r="CFY262" s="169"/>
      <c r="CFZ262" s="169"/>
      <c r="CGA262" s="169"/>
      <c r="CGB262" s="169"/>
      <c r="CGC262" s="169"/>
      <c r="CGD262" s="169"/>
      <c r="CGE262" s="169"/>
      <c r="CGF262" s="169"/>
      <c r="CGG262" s="169"/>
      <c r="CGH262" s="169"/>
      <c r="CGI262" s="169"/>
      <c r="CGJ262" s="169"/>
      <c r="CGK262" s="169"/>
      <c r="CGL262" s="169"/>
      <c r="CGM262" s="169"/>
      <c r="CGN262" s="169"/>
      <c r="CGO262" s="169"/>
      <c r="CGP262" s="169"/>
      <c r="CGQ262" s="169"/>
      <c r="CGR262" s="169"/>
      <c r="CGS262" s="169"/>
      <c r="CGT262" s="169"/>
      <c r="CGU262" s="169"/>
      <c r="CGV262" s="169"/>
      <c r="CGW262" s="169"/>
      <c r="CGX262" s="169"/>
      <c r="CGY262" s="169"/>
      <c r="CGZ262" s="169"/>
      <c r="CHA262" s="169"/>
      <c r="CHB262" s="169"/>
      <c r="CHC262" s="169"/>
      <c r="CHD262" s="169"/>
      <c r="CHE262" s="169"/>
      <c r="CHF262" s="169"/>
      <c r="CHG262" s="169"/>
      <c r="CHH262" s="169"/>
      <c r="CHI262" s="169"/>
      <c r="CHJ262" s="169"/>
      <c r="CHK262" s="169"/>
      <c r="CHL262" s="169"/>
      <c r="CHM262" s="169"/>
      <c r="CHN262" s="169"/>
      <c r="CHO262" s="169"/>
      <c r="CHP262" s="169"/>
      <c r="CHQ262" s="169"/>
      <c r="CHR262" s="169"/>
      <c r="CHS262" s="169"/>
      <c r="CHT262" s="169"/>
      <c r="CHU262" s="169"/>
      <c r="CHV262" s="169"/>
      <c r="CHW262" s="169"/>
      <c r="CHX262" s="169"/>
      <c r="CHY262" s="169"/>
      <c r="CHZ262" s="169"/>
      <c r="CIA262" s="169"/>
      <c r="CIB262" s="169"/>
      <c r="CIC262" s="169"/>
      <c r="CID262" s="169"/>
      <c r="CIE262" s="169"/>
      <c r="CIF262" s="169"/>
      <c r="CIG262" s="169"/>
      <c r="CIH262" s="169"/>
      <c r="CII262" s="169"/>
      <c r="CIJ262" s="169"/>
      <c r="CIK262" s="169"/>
      <c r="CIL262" s="169"/>
      <c r="CIM262" s="169"/>
      <c r="CIN262" s="169"/>
      <c r="CIO262" s="169"/>
      <c r="CIP262" s="169"/>
      <c r="CIQ262" s="169"/>
      <c r="CIR262" s="169"/>
      <c r="CIS262" s="169"/>
      <c r="CIT262" s="169"/>
      <c r="CIU262" s="169"/>
      <c r="CIV262" s="169"/>
      <c r="CIW262" s="169"/>
      <c r="CIX262" s="169"/>
      <c r="CIY262" s="169"/>
      <c r="CIZ262" s="169"/>
      <c r="CJA262" s="169"/>
      <c r="CJB262" s="169"/>
      <c r="CJC262" s="169"/>
      <c r="CJD262" s="169"/>
      <c r="CJE262" s="169"/>
      <c r="CJF262" s="169"/>
      <c r="CJG262" s="169"/>
      <c r="CJH262" s="169"/>
      <c r="CJI262" s="169"/>
      <c r="CJJ262" s="169"/>
      <c r="CJK262" s="169"/>
      <c r="CJL262" s="169"/>
      <c r="CJM262" s="169"/>
      <c r="CJN262" s="169"/>
      <c r="CJO262" s="169"/>
      <c r="CJP262" s="169"/>
      <c r="CJQ262" s="169"/>
      <c r="CJR262" s="169"/>
      <c r="CJS262" s="169"/>
      <c r="CJT262" s="169"/>
      <c r="CJU262" s="169"/>
      <c r="CJV262" s="169"/>
      <c r="CJW262" s="169"/>
      <c r="CJX262" s="169"/>
      <c r="CJY262" s="169"/>
      <c r="CJZ262" s="169"/>
      <c r="CKA262" s="169"/>
      <c r="CKB262" s="169"/>
      <c r="CKC262" s="169"/>
      <c r="CKD262" s="169"/>
      <c r="CKE262" s="169"/>
      <c r="CKF262" s="169"/>
      <c r="CKG262" s="169"/>
      <c r="CKH262" s="169"/>
      <c r="CKI262" s="169"/>
      <c r="CKJ262" s="169"/>
      <c r="CKK262" s="169"/>
      <c r="CKL262" s="169"/>
      <c r="CKM262" s="169"/>
      <c r="CKN262" s="169"/>
      <c r="CKO262" s="169"/>
      <c r="CKP262" s="169"/>
      <c r="CKQ262" s="169"/>
      <c r="CKR262" s="169"/>
      <c r="CKS262" s="169"/>
      <c r="CKT262" s="169"/>
      <c r="CKU262" s="169"/>
      <c r="CKV262" s="169"/>
      <c r="CKW262" s="169"/>
      <c r="CKX262" s="169"/>
      <c r="CKY262" s="169"/>
      <c r="CKZ262" s="169"/>
      <c r="CLA262" s="169"/>
      <c r="CLB262" s="169"/>
      <c r="CLC262" s="169"/>
      <c r="CLD262" s="169"/>
      <c r="CLE262" s="169"/>
      <c r="CLF262" s="169"/>
      <c r="CLG262" s="169"/>
      <c r="CLH262" s="169"/>
      <c r="CLI262" s="169"/>
      <c r="CLJ262" s="169"/>
      <c r="CLK262" s="169"/>
      <c r="CLL262" s="169"/>
      <c r="CLM262" s="169"/>
      <c r="CLN262" s="169"/>
      <c r="CLO262" s="169"/>
      <c r="CLP262" s="169"/>
      <c r="CLQ262" s="169"/>
      <c r="CLR262" s="169"/>
      <c r="CLS262" s="169"/>
      <c r="CLT262" s="169"/>
      <c r="CLU262" s="169"/>
      <c r="CLV262" s="169"/>
      <c r="CLW262" s="169"/>
      <c r="CLX262" s="169"/>
      <c r="CLY262" s="169"/>
      <c r="CLZ262" s="169"/>
      <c r="CMA262" s="169"/>
      <c r="CMB262" s="169"/>
      <c r="CMC262" s="169"/>
      <c r="CMD262" s="169"/>
      <c r="CME262" s="169"/>
      <c r="CMF262" s="169"/>
      <c r="CMG262" s="169"/>
      <c r="CMH262" s="169"/>
      <c r="CMI262" s="169"/>
      <c r="CMJ262" s="169"/>
      <c r="CMK262" s="169"/>
      <c r="CML262" s="169"/>
      <c r="CMM262" s="169"/>
      <c r="CMN262" s="169"/>
      <c r="CMO262" s="169"/>
      <c r="CMP262" s="169"/>
      <c r="CMQ262" s="169"/>
      <c r="CMR262" s="169"/>
      <c r="CMS262" s="169"/>
      <c r="CMT262" s="169"/>
      <c r="CMU262" s="169"/>
      <c r="CMV262" s="169"/>
      <c r="CMW262" s="169"/>
      <c r="CMX262" s="169"/>
      <c r="CMY262" s="169"/>
      <c r="CMZ262" s="169"/>
      <c r="CNA262" s="169"/>
      <c r="CNB262" s="169"/>
      <c r="CNC262" s="169"/>
      <c r="CND262" s="169"/>
      <c r="CNE262" s="169"/>
      <c r="CNF262" s="169"/>
      <c r="CNG262" s="169"/>
      <c r="CNH262" s="169"/>
      <c r="CNI262" s="169"/>
      <c r="CNJ262" s="169"/>
      <c r="CNK262" s="169"/>
      <c r="CNL262" s="169"/>
      <c r="CNM262" s="169"/>
      <c r="CNN262" s="169"/>
      <c r="CNO262" s="169"/>
      <c r="CNP262" s="169"/>
      <c r="CNQ262" s="169"/>
      <c r="CNR262" s="169"/>
      <c r="CNS262" s="169"/>
      <c r="CNT262" s="169"/>
      <c r="CNU262" s="169"/>
      <c r="CNV262" s="169"/>
      <c r="CNW262" s="169"/>
      <c r="CNX262" s="169"/>
      <c r="CNY262" s="169"/>
      <c r="CNZ262" s="169"/>
      <c r="COA262" s="169"/>
      <c r="COB262" s="169"/>
      <c r="COC262" s="169"/>
      <c r="COD262" s="169"/>
      <c r="COE262" s="169"/>
      <c r="COF262" s="169"/>
      <c r="COG262" s="169"/>
      <c r="COH262" s="169"/>
      <c r="COI262" s="169"/>
      <c r="COJ262" s="169"/>
      <c r="COK262" s="169"/>
      <c r="COL262" s="169"/>
      <c r="COM262" s="169"/>
      <c r="CON262" s="169"/>
      <c r="COO262" s="169"/>
      <c r="COP262" s="169"/>
      <c r="COQ262" s="169"/>
      <c r="COR262" s="169"/>
      <c r="COS262" s="169"/>
      <c r="COT262" s="169"/>
      <c r="COU262" s="169"/>
      <c r="COV262" s="169"/>
      <c r="COW262" s="169"/>
      <c r="COX262" s="169"/>
      <c r="COY262" s="169"/>
      <c r="COZ262" s="169"/>
      <c r="CPA262" s="169"/>
      <c r="CPB262" s="169"/>
      <c r="CPC262" s="169"/>
      <c r="CPD262" s="169"/>
      <c r="CPE262" s="169"/>
      <c r="CPF262" s="169"/>
      <c r="CPG262" s="169"/>
      <c r="CPH262" s="169"/>
      <c r="CPI262" s="169"/>
      <c r="CPJ262" s="169"/>
      <c r="CPK262" s="169"/>
      <c r="CPL262" s="169"/>
      <c r="CPM262" s="169"/>
      <c r="CPN262" s="169"/>
      <c r="CPO262" s="169"/>
      <c r="CPP262" s="169"/>
      <c r="CPQ262" s="169"/>
      <c r="CPR262" s="169"/>
      <c r="CPS262" s="169"/>
      <c r="CPT262" s="169"/>
      <c r="CPU262" s="169"/>
      <c r="CPV262" s="169"/>
      <c r="CPW262" s="169"/>
      <c r="CPX262" s="169"/>
      <c r="CPY262" s="169"/>
      <c r="CPZ262" s="169"/>
      <c r="CQA262" s="169"/>
      <c r="CQB262" s="169"/>
      <c r="CQC262" s="169"/>
      <c r="CQD262" s="169"/>
      <c r="CQE262" s="169"/>
      <c r="CQF262" s="169"/>
      <c r="CQG262" s="169"/>
      <c r="CQH262" s="169"/>
      <c r="CQI262" s="169"/>
      <c r="CQJ262" s="169"/>
      <c r="CQK262" s="169"/>
      <c r="CQL262" s="169"/>
      <c r="CQM262" s="169"/>
      <c r="CQN262" s="169"/>
      <c r="CQO262" s="169"/>
      <c r="CQP262" s="169"/>
      <c r="CQQ262" s="169"/>
      <c r="CQR262" s="169"/>
      <c r="CQS262" s="169"/>
      <c r="CQT262" s="169"/>
      <c r="CQU262" s="169"/>
      <c r="CQV262" s="169"/>
      <c r="CQW262" s="169"/>
      <c r="CQX262" s="169"/>
      <c r="CQY262" s="169"/>
      <c r="CQZ262" s="169"/>
      <c r="CRA262" s="169"/>
      <c r="CRB262" s="169"/>
      <c r="CRC262" s="169"/>
      <c r="CRD262" s="169"/>
      <c r="CRE262" s="169"/>
      <c r="CRF262" s="169"/>
      <c r="CRG262" s="169"/>
      <c r="CRH262" s="169"/>
      <c r="CRI262" s="169"/>
      <c r="CRJ262" s="169"/>
      <c r="CRK262" s="169"/>
      <c r="CRL262" s="169"/>
      <c r="CRM262" s="169"/>
      <c r="CRN262" s="169"/>
      <c r="CRO262" s="169"/>
      <c r="CRP262" s="169"/>
      <c r="CRQ262" s="169"/>
      <c r="CRR262" s="169"/>
      <c r="CRS262" s="169"/>
      <c r="CRT262" s="169"/>
      <c r="CRU262" s="169"/>
      <c r="CRV262" s="169"/>
      <c r="CRW262" s="169"/>
      <c r="CRX262" s="169"/>
      <c r="CRY262" s="169"/>
      <c r="CRZ262" s="169"/>
      <c r="CSA262" s="169"/>
      <c r="CSB262" s="169"/>
      <c r="CSC262" s="169"/>
      <c r="CSD262" s="169"/>
      <c r="CSE262" s="169"/>
      <c r="CSF262" s="169"/>
      <c r="CSG262" s="169"/>
      <c r="CSH262" s="169"/>
      <c r="CSI262" s="169"/>
      <c r="CSJ262" s="169"/>
      <c r="CSK262" s="169"/>
      <c r="CSL262" s="169"/>
      <c r="CSM262" s="169"/>
      <c r="CSN262" s="169"/>
      <c r="CSO262" s="169"/>
      <c r="CSP262" s="169"/>
      <c r="CSQ262" s="169"/>
      <c r="CSR262" s="169"/>
      <c r="CSS262" s="169"/>
      <c r="CST262" s="169"/>
      <c r="CSU262" s="169"/>
      <c r="CSV262" s="169"/>
      <c r="CSW262" s="169"/>
      <c r="CSX262" s="169"/>
      <c r="CSY262" s="169"/>
      <c r="CSZ262" s="169"/>
      <c r="CTA262" s="169"/>
      <c r="CTB262" s="169"/>
      <c r="CTC262" s="169"/>
      <c r="CTD262" s="169"/>
      <c r="CTE262" s="169"/>
      <c r="CTF262" s="169"/>
      <c r="CTG262" s="169"/>
      <c r="CTH262" s="169"/>
      <c r="CTI262" s="169"/>
      <c r="CTJ262" s="169"/>
      <c r="CTK262" s="169"/>
      <c r="CTL262" s="169"/>
      <c r="CTM262" s="169"/>
      <c r="CTN262" s="169"/>
      <c r="CTO262" s="169"/>
      <c r="CTP262" s="169"/>
      <c r="CTQ262" s="169"/>
      <c r="CTR262" s="169"/>
      <c r="CTS262" s="169"/>
      <c r="CTT262" s="169"/>
      <c r="CTU262" s="169"/>
      <c r="CTV262" s="169"/>
      <c r="CTW262" s="169"/>
      <c r="CTX262" s="169"/>
      <c r="CTY262" s="169"/>
      <c r="CTZ262" s="169"/>
      <c r="CUA262" s="169"/>
      <c r="CUB262" s="169"/>
      <c r="CUC262" s="169"/>
      <c r="CUD262" s="169"/>
      <c r="CUE262" s="169"/>
      <c r="CUF262" s="169"/>
      <c r="CUG262" s="169"/>
      <c r="CUH262" s="169"/>
      <c r="CUI262" s="169"/>
      <c r="CUJ262" s="169"/>
      <c r="CUK262" s="169"/>
      <c r="CUL262" s="169"/>
      <c r="CUM262" s="169"/>
      <c r="CUN262" s="169"/>
      <c r="CUO262" s="169"/>
      <c r="CUP262" s="169"/>
      <c r="CUQ262" s="169"/>
      <c r="CUR262" s="169"/>
      <c r="CUS262" s="169"/>
      <c r="CUT262" s="169"/>
      <c r="CUU262" s="169"/>
      <c r="CUV262" s="169"/>
      <c r="CUW262" s="169"/>
      <c r="CUX262" s="169"/>
      <c r="CUY262" s="169"/>
      <c r="CUZ262" s="169"/>
      <c r="CVA262" s="169"/>
      <c r="CVB262" s="169"/>
      <c r="CVC262" s="169"/>
      <c r="CVD262" s="169"/>
      <c r="CVE262" s="169"/>
      <c r="CVF262" s="169"/>
      <c r="CVG262" s="169"/>
      <c r="CVH262" s="169"/>
      <c r="CVI262" s="169"/>
      <c r="CVJ262" s="169"/>
      <c r="CVK262" s="169"/>
      <c r="CVL262" s="169"/>
      <c r="CVM262" s="169"/>
      <c r="CVN262" s="169"/>
      <c r="CVO262" s="169"/>
      <c r="CVP262" s="169"/>
      <c r="CVQ262" s="169"/>
      <c r="CVR262" s="169"/>
      <c r="CVS262" s="169"/>
      <c r="CVT262" s="169"/>
      <c r="CVU262" s="169"/>
      <c r="CVV262" s="169"/>
      <c r="CVW262" s="169"/>
      <c r="CVX262" s="169"/>
      <c r="CVY262" s="169"/>
      <c r="CVZ262" s="169"/>
      <c r="CWA262" s="169"/>
      <c r="CWB262" s="169"/>
      <c r="CWC262" s="169"/>
      <c r="CWD262" s="169"/>
      <c r="CWE262" s="169"/>
      <c r="CWF262" s="169"/>
      <c r="CWG262" s="169"/>
      <c r="CWH262" s="169"/>
      <c r="CWI262" s="169"/>
      <c r="CWJ262" s="169"/>
      <c r="CWK262" s="169"/>
      <c r="CWL262" s="169"/>
      <c r="CWM262" s="169"/>
      <c r="CWN262" s="169"/>
      <c r="CWO262" s="169"/>
      <c r="CWP262" s="169"/>
      <c r="CWQ262" s="169"/>
      <c r="CWR262" s="169"/>
      <c r="CWS262" s="169"/>
      <c r="CWT262" s="169"/>
      <c r="CWU262" s="169"/>
      <c r="CWV262" s="169"/>
      <c r="CWW262" s="169"/>
      <c r="CWX262" s="169"/>
      <c r="CWY262" s="169"/>
      <c r="CWZ262" s="169"/>
      <c r="CXA262" s="169"/>
      <c r="CXB262" s="169"/>
      <c r="CXC262" s="169"/>
      <c r="CXD262" s="169"/>
      <c r="CXE262" s="169"/>
      <c r="CXF262" s="169"/>
      <c r="CXG262" s="169"/>
      <c r="CXH262" s="169"/>
      <c r="CXI262" s="169"/>
      <c r="CXJ262" s="169"/>
      <c r="CXK262" s="169"/>
      <c r="CXL262" s="169"/>
      <c r="CXM262" s="169"/>
      <c r="CXN262" s="169"/>
      <c r="CXO262" s="169"/>
      <c r="CXP262" s="169"/>
      <c r="CXQ262" s="169"/>
      <c r="CXR262" s="169"/>
      <c r="CXS262" s="169"/>
      <c r="CXT262" s="169"/>
      <c r="CXU262" s="169"/>
      <c r="CXV262" s="169"/>
      <c r="CXW262" s="169"/>
      <c r="CXX262" s="169"/>
      <c r="CXY262" s="169"/>
      <c r="CXZ262" s="169"/>
      <c r="CYA262" s="169"/>
      <c r="CYB262" s="169"/>
      <c r="CYC262" s="169"/>
      <c r="CYD262" s="169"/>
      <c r="CYE262" s="169"/>
      <c r="CYF262" s="169"/>
      <c r="CYG262" s="169"/>
      <c r="CYH262" s="169"/>
      <c r="CYI262" s="169"/>
      <c r="CYJ262" s="169"/>
      <c r="CYK262" s="169"/>
      <c r="CYL262" s="169"/>
      <c r="CYM262" s="169"/>
      <c r="CYN262" s="169"/>
      <c r="CYO262" s="169"/>
      <c r="CYP262" s="169"/>
      <c r="CYQ262" s="169"/>
      <c r="CYR262" s="169"/>
      <c r="CYS262" s="169"/>
      <c r="CYT262" s="169"/>
      <c r="CYU262" s="169"/>
      <c r="CYV262" s="169"/>
      <c r="CYW262" s="169"/>
      <c r="CYX262" s="169"/>
      <c r="CYY262" s="169"/>
      <c r="CYZ262" s="169"/>
      <c r="CZA262" s="169"/>
      <c r="CZB262" s="169"/>
      <c r="CZC262" s="169"/>
      <c r="CZD262" s="169"/>
      <c r="CZE262" s="169"/>
      <c r="CZF262" s="169"/>
      <c r="CZG262" s="169"/>
      <c r="CZH262" s="169"/>
      <c r="CZI262" s="169"/>
      <c r="CZJ262" s="169"/>
      <c r="CZK262" s="169"/>
      <c r="CZL262" s="169"/>
      <c r="CZM262" s="169"/>
      <c r="CZN262" s="169"/>
      <c r="CZO262" s="169"/>
      <c r="CZP262" s="169"/>
      <c r="CZQ262" s="169"/>
      <c r="CZR262" s="169"/>
      <c r="CZS262" s="169"/>
      <c r="CZT262" s="169"/>
      <c r="CZU262" s="169"/>
      <c r="CZV262" s="169"/>
      <c r="CZW262" s="169"/>
      <c r="CZX262" s="169"/>
      <c r="CZY262" s="169"/>
      <c r="CZZ262" s="169"/>
      <c r="DAA262" s="169"/>
      <c r="DAB262" s="169"/>
      <c r="DAC262" s="169"/>
      <c r="DAD262" s="169"/>
      <c r="DAE262" s="169"/>
      <c r="DAF262" s="169"/>
      <c r="DAG262" s="169"/>
      <c r="DAH262" s="169"/>
      <c r="DAI262" s="169"/>
      <c r="DAJ262" s="169"/>
      <c r="DAK262" s="169"/>
      <c r="DAL262" s="169"/>
      <c r="DAM262" s="169"/>
      <c r="DAN262" s="169"/>
      <c r="DAO262" s="169"/>
      <c r="DAP262" s="169"/>
      <c r="DAQ262" s="169"/>
      <c r="DAR262" s="169"/>
      <c r="DAS262" s="169"/>
      <c r="DAT262" s="169"/>
      <c r="DAU262" s="169"/>
      <c r="DAV262" s="169"/>
      <c r="DAW262" s="169"/>
      <c r="DAX262" s="169"/>
      <c r="DAY262" s="169"/>
      <c r="DAZ262" s="169"/>
      <c r="DBA262" s="169"/>
      <c r="DBB262" s="169"/>
      <c r="DBC262" s="169"/>
      <c r="DBD262" s="169"/>
      <c r="DBE262" s="169"/>
      <c r="DBF262" s="169"/>
      <c r="DBG262" s="169"/>
      <c r="DBH262" s="169"/>
      <c r="DBI262" s="169"/>
      <c r="DBJ262" s="169"/>
      <c r="DBK262" s="169"/>
      <c r="DBL262" s="169"/>
      <c r="DBM262" s="169"/>
      <c r="DBN262" s="169"/>
      <c r="DBO262" s="169"/>
      <c r="DBP262" s="169"/>
      <c r="DBQ262" s="169"/>
      <c r="DBR262" s="169"/>
      <c r="DBS262" s="169"/>
      <c r="DBT262" s="169"/>
      <c r="DBU262" s="169"/>
      <c r="DBV262" s="169"/>
      <c r="DBW262" s="169"/>
      <c r="DBX262" s="169"/>
      <c r="DBY262" s="169"/>
      <c r="DBZ262" s="169"/>
      <c r="DCA262" s="169"/>
      <c r="DCB262" s="169"/>
      <c r="DCC262" s="169"/>
      <c r="DCD262" s="169"/>
      <c r="DCE262" s="169"/>
      <c r="DCF262" s="169"/>
      <c r="DCG262" s="169"/>
      <c r="DCH262" s="169"/>
      <c r="DCI262" s="169"/>
      <c r="DCJ262" s="169"/>
      <c r="DCK262" s="169"/>
      <c r="DCL262" s="169"/>
      <c r="DCM262" s="169"/>
      <c r="DCN262" s="169"/>
      <c r="DCO262" s="169"/>
      <c r="DCP262" s="169"/>
      <c r="DCQ262" s="169"/>
      <c r="DCR262" s="169"/>
      <c r="DCS262" s="169"/>
      <c r="DCT262" s="169"/>
      <c r="DCU262" s="169"/>
      <c r="DCV262" s="169"/>
      <c r="DCW262" s="169"/>
      <c r="DCX262" s="169"/>
      <c r="DCY262" s="169"/>
      <c r="DCZ262" s="169"/>
      <c r="DDA262" s="169"/>
      <c r="DDB262" s="169"/>
      <c r="DDC262" s="169"/>
      <c r="DDD262" s="169"/>
      <c r="DDE262" s="169"/>
      <c r="DDF262" s="169"/>
      <c r="DDG262" s="169"/>
      <c r="DDH262" s="169"/>
      <c r="DDI262" s="169"/>
      <c r="DDJ262" s="169"/>
      <c r="DDK262" s="169"/>
      <c r="DDL262" s="169"/>
      <c r="DDM262" s="169"/>
      <c r="DDN262" s="169"/>
      <c r="DDO262" s="169"/>
      <c r="DDP262" s="169"/>
      <c r="DDQ262" s="169"/>
      <c r="DDR262" s="169"/>
      <c r="DDS262" s="169"/>
      <c r="DDT262" s="169"/>
      <c r="DDU262" s="169"/>
      <c r="DDV262" s="169"/>
      <c r="DDW262" s="169"/>
      <c r="DDX262" s="169"/>
      <c r="DDY262" s="169"/>
      <c r="DDZ262" s="169"/>
      <c r="DEA262" s="169"/>
      <c r="DEB262" s="169"/>
      <c r="DEC262" s="169"/>
      <c r="DED262" s="169"/>
      <c r="DEE262" s="169"/>
      <c r="DEF262" s="169"/>
      <c r="DEG262" s="169"/>
      <c r="DEH262" s="169"/>
      <c r="DEI262" s="169"/>
      <c r="DEJ262" s="169"/>
      <c r="DEK262" s="169"/>
      <c r="DEL262" s="169"/>
      <c r="DEM262" s="169"/>
      <c r="DEN262" s="169"/>
      <c r="DEO262" s="169"/>
      <c r="DEP262" s="169"/>
      <c r="DEQ262" s="169"/>
      <c r="DER262" s="169"/>
      <c r="DES262" s="169"/>
      <c r="DET262" s="169"/>
      <c r="DEU262" s="169"/>
      <c r="DEV262" s="169"/>
      <c r="DEW262" s="169"/>
      <c r="DEX262" s="169"/>
      <c r="DEY262" s="169"/>
      <c r="DEZ262" s="169"/>
      <c r="DFA262" s="169"/>
      <c r="DFB262" s="169"/>
      <c r="DFC262" s="169"/>
      <c r="DFD262" s="169"/>
      <c r="DFE262" s="169"/>
      <c r="DFF262" s="169"/>
      <c r="DFG262" s="169"/>
      <c r="DFH262" s="169"/>
      <c r="DFI262" s="169"/>
      <c r="DFJ262" s="169"/>
      <c r="DFK262" s="169"/>
      <c r="DFL262" s="169"/>
      <c r="DFM262" s="169"/>
      <c r="DFN262" s="169"/>
      <c r="DFO262" s="169"/>
      <c r="DFP262" s="169"/>
      <c r="DFQ262" s="169"/>
      <c r="DFR262" s="169"/>
      <c r="DFS262" s="169"/>
      <c r="DFT262" s="169"/>
      <c r="DFU262" s="169"/>
      <c r="DFV262" s="169"/>
      <c r="DFW262" s="169"/>
      <c r="DFX262" s="169"/>
      <c r="DFY262" s="169"/>
      <c r="DFZ262" s="169"/>
      <c r="DGA262" s="169"/>
      <c r="DGB262" s="169"/>
      <c r="DGC262" s="169"/>
      <c r="DGD262" s="169"/>
      <c r="DGE262" s="169"/>
      <c r="DGF262" s="169"/>
      <c r="DGG262" s="169"/>
      <c r="DGH262" s="169"/>
      <c r="DGI262" s="169"/>
      <c r="DGJ262" s="169"/>
      <c r="DGK262" s="169"/>
      <c r="DGL262" s="169"/>
      <c r="DGM262" s="169"/>
      <c r="DGN262" s="169"/>
      <c r="DGO262" s="169"/>
      <c r="DGP262" s="169"/>
      <c r="DGQ262" s="169"/>
      <c r="DGR262" s="169"/>
      <c r="DGS262" s="169"/>
      <c r="DGT262" s="169"/>
      <c r="DGU262" s="169"/>
      <c r="DGV262" s="169"/>
      <c r="DGW262" s="169"/>
      <c r="DGX262" s="169"/>
      <c r="DGY262" s="169"/>
      <c r="DGZ262" s="169"/>
      <c r="DHA262" s="169"/>
      <c r="DHB262" s="169"/>
      <c r="DHC262" s="169"/>
      <c r="DHD262" s="169"/>
      <c r="DHE262" s="169"/>
      <c r="DHF262" s="169"/>
      <c r="DHG262" s="169"/>
      <c r="DHH262" s="169"/>
      <c r="DHI262" s="169"/>
      <c r="DHJ262" s="169"/>
      <c r="DHK262" s="169"/>
      <c r="DHL262" s="169"/>
      <c r="DHM262" s="169"/>
      <c r="DHN262" s="169"/>
      <c r="DHO262" s="169"/>
      <c r="DHP262" s="169"/>
      <c r="DHQ262" s="169"/>
      <c r="DHR262" s="169"/>
      <c r="DHS262" s="169"/>
      <c r="DHT262" s="169"/>
      <c r="DHU262" s="169"/>
      <c r="DHV262" s="169"/>
      <c r="DHW262" s="169"/>
      <c r="DHX262" s="169"/>
      <c r="DHY262" s="169"/>
      <c r="DHZ262" s="169"/>
      <c r="DIA262" s="169"/>
      <c r="DIB262" s="169"/>
      <c r="DIC262" s="169"/>
      <c r="DID262" s="169"/>
      <c r="DIE262" s="169"/>
      <c r="DIF262" s="169"/>
      <c r="DIG262" s="169"/>
      <c r="DIH262" s="169"/>
      <c r="DII262" s="169"/>
      <c r="DIJ262" s="169"/>
      <c r="DIK262" s="169"/>
      <c r="DIL262" s="169"/>
      <c r="DIM262" s="169"/>
      <c r="DIN262" s="169"/>
      <c r="DIO262" s="169"/>
      <c r="DIP262" s="169"/>
      <c r="DIQ262" s="169"/>
      <c r="DIR262" s="169"/>
      <c r="DIS262" s="169"/>
      <c r="DIT262" s="169"/>
      <c r="DIU262" s="169"/>
      <c r="DIV262" s="169"/>
      <c r="DIW262" s="169"/>
      <c r="DIX262" s="169"/>
      <c r="DIY262" s="169"/>
      <c r="DIZ262" s="169"/>
      <c r="DJA262" s="169"/>
      <c r="DJB262" s="169"/>
      <c r="DJC262" s="169"/>
      <c r="DJD262" s="169"/>
      <c r="DJE262" s="169"/>
      <c r="DJF262" s="169"/>
      <c r="DJG262" s="169"/>
      <c r="DJH262" s="169"/>
      <c r="DJI262" s="169"/>
      <c r="DJJ262" s="169"/>
      <c r="DJK262" s="169"/>
      <c r="DJL262" s="169"/>
      <c r="DJM262" s="169"/>
      <c r="DJN262" s="169"/>
      <c r="DJO262" s="169"/>
      <c r="DJP262" s="169"/>
      <c r="DJQ262" s="169"/>
      <c r="DJR262" s="169"/>
      <c r="DJS262" s="169"/>
      <c r="DJT262" s="169"/>
      <c r="DJU262" s="169"/>
      <c r="DJV262" s="169"/>
      <c r="DJW262" s="169"/>
      <c r="DJX262" s="169"/>
      <c r="DJY262" s="169"/>
      <c r="DJZ262" s="169"/>
      <c r="DKA262" s="169"/>
      <c r="DKB262" s="169"/>
      <c r="DKC262" s="169"/>
      <c r="DKD262" s="169"/>
      <c r="DKE262" s="169"/>
      <c r="DKF262" s="169"/>
      <c r="DKG262" s="169"/>
      <c r="DKH262" s="169"/>
      <c r="DKI262" s="169"/>
      <c r="DKJ262" s="169"/>
      <c r="DKK262" s="169"/>
      <c r="DKL262" s="169"/>
      <c r="DKM262" s="169"/>
      <c r="DKN262" s="169"/>
      <c r="DKO262" s="169"/>
      <c r="DKP262" s="169"/>
      <c r="DKQ262" s="169"/>
      <c r="DKR262" s="169"/>
      <c r="DKS262" s="169"/>
      <c r="DKT262" s="169"/>
      <c r="DKU262" s="169"/>
      <c r="DKV262" s="169"/>
      <c r="DKW262" s="169"/>
      <c r="DKX262" s="169"/>
      <c r="DKY262" s="169"/>
      <c r="DKZ262" s="169"/>
      <c r="DLA262" s="169"/>
      <c r="DLB262" s="169"/>
      <c r="DLC262" s="169"/>
      <c r="DLD262" s="169"/>
      <c r="DLE262" s="169"/>
      <c r="DLF262" s="169"/>
      <c r="DLG262" s="169"/>
      <c r="DLH262" s="169"/>
      <c r="DLI262" s="169"/>
      <c r="DLJ262" s="169"/>
      <c r="DLK262" s="169"/>
      <c r="DLL262" s="169"/>
      <c r="DLM262" s="169"/>
      <c r="DLN262" s="169"/>
      <c r="DLO262" s="169"/>
      <c r="DLP262" s="169"/>
      <c r="DLQ262" s="169"/>
      <c r="DLR262" s="169"/>
      <c r="DLS262" s="169"/>
      <c r="DLT262" s="169"/>
      <c r="DLU262" s="169"/>
      <c r="DLV262" s="169"/>
      <c r="DLW262" s="169"/>
      <c r="DLX262" s="169"/>
      <c r="DLY262" s="169"/>
      <c r="DLZ262" s="169"/>
      <c r="DMA262" s="169"/>
      <c r="DMB262" s="169"/>
      <c r="DMC262" s="169"/>
      <c r="DMD262" s="169"/>
      <c r="DME262" s="169"/>
      <c r="DMF262" s="169"/>
      <c r="DMG262" s="169"/>
      <c r="DMH262" s="169"/>
      <c r="DMI262" s="169"/>
      <c r="DMJ262" s="169"/>
      <c r="DMK262" s="169"/>
      <c r="DML262" s="169"/>
      <c r="DMM262" s="169"/>
      <c r="DMN262" s="169"/>
      <c r="DMO262" s="169"/>
      <c r="DMP262" s="169"/>
      <c r="DMQ262" s="169"/>
      <c r="DMR262" s="169"/>
      <c r="DMS262" s="169"/>
      <c r="DMT262" s="169"/>
      <c r="DMU262" s="169"/>
      <c r="DMV262" s="169"/>
      <c r="DMW262" s="169"/>
      <c r="DMX262" s="169"/>
      <c r="DMY262" s="169"/>
      <c r="DMZ262" s="169"/>
      <c r="DNA262" s="169"/>
      <c r="DNB262" s="169"/>
      <c r="DNC262" s="169"/>
      <c r="DND262" s="169"/>
      <c r="DNE262" s="169"/>
      <c r="DNF262" s="169"/>
      <c r="DNG262" s="169"/>
      <c r="DNH262" s="169"/>
      <c r="DNI262" s="169"/>
      <c r="DNJ262" s="169"/>
      <c r="DNK262" s="169"/>
      <c r="DNL262" s="169"/>
      <c r="DNM262" s="169"/>
      <c r="DNN262" s="169"/>
      <c r="DNO262" s="169"/>
      <c r="DNP262" s="169"/>
      <c r="DNQ262" s="169"/>
      <c r="DNR262" s="169"/>
      <c r="DNS262" s="169"/>
      <c r="DNT262" s="169"/>
      <c r="DNU262" s="169"/>
      <c r="DNV262" s="169"/>
      <c r="DNW262" s="169"/>
      <c r="DNX262" s="169"/>
      <c r="DNY262" s="169"/>
      <c r="DNZ262" s="169"/>
      <c r="DOA262" s="169"/>
      <c r="DOB262" s="169"/>
      <c r="DOC262" s="169"/>
      <c r="DOD262" s="169"/>
      <c r="DOE262" s="169"/>
      <c r="DOF262" s="169"/>
      <c r="DOG262" s="169"/>
      <c r="DOH262" s="169"/>
      <c r="DOI262" s="169"/>
      <c r="DOJ262" s="169"/>
      <c r="DOK262" s="169"/>
      <c r="DOL262" s="169"/>
      <c r="DOM262" s="169"/>
      <c r="DON262" s="169"/>
      <c r="DOO262" s="169"/>
      <c r="DOP262" s="169"/>
      <c r="DOQ262" s="169"/>
      <c r="DOR262" s="169"/>
      <c r="DOS262" s="169"/>
      <c r="DOT262" s="169"/>
      <c r="DOU262" s="169"/>
      <c r="DOV262" s="169"/>
      <c r="DOW262" s="169"/>
      <c r="DOX262" s="169"/>
      <c r="DOY262" s="169"/>
      <c r="DOZ262" s="169"/>
      <c r="DPA262" s="169"/>
      <c r="DPB262" s="169"/>
      <c r="DPC262" s="169"/>
      <c r="DPD262" s="169"/>
      <c r="DPE262" s="169"/>
      <c r="DPF262" s="169"/>
      <c r="DPG262" s="169"/>
      <c r="DPH262" s="169"/>
      <c r="DPI262" s="169"/>
      <c r="DPJ262" s="169"/>
      <c r="DPK262" s="169"/>
      <c r="DPL262" s="169"/>
      <c r="DPM262" s="169"/>
      <c r="DPN262" s="169"/>
      <c r="DPO262" s="169"/>
      <c r="DPP262" s="169"/>
      <c r="DPQ262" s="169"/>
      <c r="DPR262" s="169"/>
      <c r="DPS262" s="169"/>
      <c r="DPT262" s="169"/>
      <c r="DPU262" s="169"/>
      <c r="DPV262" s="169"/>
      <c r="DPW262" s="169"/>
      <c r="DPX262" s="169"/>
      <c r="DPY262" s="169"/>
      <c r="DPZ262" s="169"/>
      <c r="DQA262" s="169"/>
      <c r="DQB262" s="169"/>
      <c r="DQC262" s="169"/>
      <c r="DQD262" s="169"/>
      <c r="DQE262" s="169"/>
      <c r="DQF262" s="169"/>
      <c r="DQG262" s="169"/>
      <c r="DQH262" s="169"/>
      <c r="DQI262" s="169"/>
      <c r="DQJ262" s="169"/>
      <c r="DQK262" s="169"/>
      <c r="DQL262" s="169"/>
      <c r="DQM262" s="169"/>
      <c r="DQN262" s="169"/>
      <c r="DQO262" s="169"/>
      <c r="DQP262" s="169"/>
      <c r="DQQ262" s="169"/>
      <c r="DQR262" s="169"/>
      <c r="DQS262" s="169"/>
      <c r="DQT262" s="169"/>
      <c r="DQU262" s="169"/>
      <c r="DQV262" s="169"/>
      <c r="DQW262" s="169"/>
      <c r="DQX262" s="169"/>
      <c r="DQY262" s="169"/>
      <c r="DQZ262" s="169"/>
      <c r="DRA262" s="169"/>
      <c r="DRB262" s="169"/>
      <c r="DRC262" s="169"/>
      <c r="DRD262" s="169"/>
      <c r="DRE262" s="169"/>
      <c r="DRF262" s="169"/>
      <c r="DRG262" s="169"/>
      <c r="DRH262" s="169"/>
      <c r="DRI262" s="169"/>
      <c r="DRJ262" s="169"/>
      <c r="DRK262" s="169"/>
      <c r="DRL262" s="169"/>
      <c r="DRM262" s="169"/>
      <c r="DRN262" s="169"/>
      <c r="DRO262" s="169"/>
      <c r="DRP262" s="169"/>
      <c r="DRQ262" s="169"/>
      <c r="DRR262" s="169"/>
      <c r="DRS262" s="169"/>
      <c r="DRT262" s="169"/>
      <c r="DRU262" s="169"/>
      <c r="DRV262" s="169"/>
      <c r="DRW262" s="169"/>
      <c r="DRX262" s="169"/>
      <c r="DRY262" s="169"/>
      <c r="DRZ262" s="169"/>
      <c r="DSA262" s="169"/>
      <c r="DSB262" s="169"/>
      <c r="DSC262" s="169"/>
      <c r="DSD262" s="169"/>
      <c r="DSE262" s="169"/>
      <c r="DSF262" s="169"/>
      <c r="DSG262" s="169"/>
      <c r="DSH262" s="169"/>
      <c r="DSI262" s="169"/>
      <c r="DSJ262" s="169"/>
      <c r="DSK262" s="169"/>
      <c r="DSL262" s="169"/>
      <c r="DSM262" s="169"/>
      <c r="DSN262" s="169"/>
      <c r="DSO262" s="169"/>
      <c r="DSP262" s="169"/>
      <c r="DSQ262" s="169"/>
      <c r="DSR262" s="169"/>
      <c r="DSS262" s="169"/>
      <c r="DST262" s="169"/>
      <c r="DSU262" s="169"/>
      <c r="DSV262" s="169"/>
      <c r="DSW262" s="169"/>
      <c r="DSX262" s="169"/>
      <c r="DSY262" s="169"/>
      <c r="DSZ262" s="169"/>
      <c r="DTA262" s="169"/>
      <c r="DTB262" s="169"/>
      <c r="DTC262" s="169"/>
      <c r="DTD262" s="169"/>
      <c r="DTE262" s="169"/>
      <c r="DTF262" s="169"/>
      <c r="DTG262" s="169"/>
      <c r="DTH262" s="169"/>
      <c r="DTI262" s="169"/>
      <c r="DTJ262" s="169"/>
      <c r="DTK262" s="169"/>
      <c r="DTL262" s="169"/>
      <c r="DTM262" s="169"/>
      <c r="DTN262" s="169"/>
      <c r="DTO262" s="169"/>
      <c r="DTP262" s="169"/>
      <c r="DTQ262" s="169"/>
      <c r="DTR262" s="169"/>
      <c r="DTS262" s="169"/>
      <c r="DTT262" s="169"/>
      <c r="DTU262" s="169"/>
      <c r="DTV262" s="169"/>
      <c r="DTW262" s="169"/>
      <c r="DTX262" s="169"/>
      <c r="DTY262" s="169"/>
      <c r="DTZ262" s="169"/>
      <c r="DUA262" s="169"/>
      <c r="DUB262" s="169"/>
      <c r="DUC262" s="169"/>
      <c r="DUD262" s="169"/>
      <c r="DUE262" s="169"/>
      <c r="DUF262" s="169"/>
      <c r="DUG262" s="169"/>
      <c r="DUH262" s="169"/>
      <c r="DUI262" s="169"/>
      <c r="DUJ262" s="169"/>
      <c r="DUK262" s="169"/>
      <c r="DUL262" s="169"/>
      <c r="DUM262" s="169"/>
      <c r="DUN262" s="169"/>
      <c r="DUO262" s="169"/>
      <c r="DUP262" s="169"/>
      <c r="DUQ262" s="169"/>
      <c r="DUR262" s="169"/>
      <c r="DUS262" s="169"/>
      <c r="DUT262" s="169"/>
      <c r="DUU262" s="169"/>
      <c r="DUV262" s="169"/>
      <c r="DUW262" s="169"/>
      <c r="DUX262" s="169"/>
      <c r="DUY262" s="169"/>
      <c r="DUZ262" s="169"/>
      <c r="DVA262" s="169"/>
      <c r="DVB262" s="169"/>
      <c r="DVC262" s="169"/>
      <c r="DVD262" s="169"/>
      <c r="DVE262" s="169"/>
      <c r="DVF262" s="169"/>
      <c r="DVG262" s="169"/>
      <c r="DVH262" s="169"/>
      <c r="DVI262" s="169"/>
      <c r="DVJ262" s="169"/>
      <c r="DVK262" s="169"/>
      <c r="DVL262" s="169"/>
      <c r="DVM262" s="169"/>
      <c r="DVN262" s="169"/>
      <c r="DVO262" s="169"/>
      <c r="DVP262" s="169"/>
      <c r="DVQ262" s="169"/>
      <c r="DVR262" s="169"/>
      <c r="DVS262" s="169"/>
      <c r="DVT262" s="169"/>
      <c r="DVU262" s="169"/>
      <c r="DVV262" s="169"/>
      <c r="DVW262" s="169"/>
      <c r="DVX262" s="169"/>
      <c r="DVY262" s="169"/>
      <c r="DVZ262" s="169"/>
      <c r="DWA262" s="169"/>
      <c r="DWB262" s="169"/>
      <c r="DWC262" s="169"/>
      <c r="DWD262" s="169"/>
      <c r="DWE262" s="169"/>
      <c r="DWF262" s="169"/>
      <c r="DWG262" s="169"/>
      <c r="DWH262" s="169"/>
      <c r="DWI262" s="169"/>
      <c r="DWJ262" s="169"/>
      <c r="DWK262" s="169"/>
      <c r="DWL262" s="169"/>
      <c r="DWM262" s="169"/>
      <c r="DWN262" s="169"/>
      <c r="DWO262" s="169"/>
      <c r="DWP262" s="169"/>
      <c r="DWQ262" s="169"/>
      <c r="DWR262" s="169"/>
      <c r="DWS262" s="169"/>
      <c r="DWT262" s="169"/>
      <c r="DWU262" s="169"/>
      <c r="DWV262" s="169"/>
      <c r="DWW262" s="169"/>
      <c r="DWX262" s="169"/>
      <c r="DWY262" s="169"/>
      <c r="DWZ262" s="169"/>
      <c r="DXA262" s="169"/>
      <c r="DXB262" s="169"/>
      <c r="DXC262" s="169"/>
      <c r="DXD262" s="169"/>
      <c r="DXE262" s="169"/>
      <c r="DXF262" s="169"/>
      <c r="DXG262" s="169"/>
      <c r="DXH262" s="169"/>
      <c r="DXI262" s="169"/>
      <c r="DXJ262" s="169"/>
      <c r="DXK262" s="169"/>
      <c r="DXL262" s="169"/>
      <c r="DXM262" s="169"/>
      <c r="DXN262" s="169"/>
      <c r="DXO262" s="169"/>
      <c r="DXP262" s="169"/>
      <c r="DXQ262" s="169"/>
      <c r="DXR262" s="169"/>
      <c r="DXS262" s="169"/>
      <c r="DXT262" s="169"/>
      <c r="DXU262" s="169"/>
      <c r="DXV262" s="169"/>
      <c r="DXW262" s="169"/>
      <c r="DXX262" s="169"/>
      <c r="DXY262" s="169"/>
      <c r="DXZ262" s="169"/>
      <c r="DYA262" s="169"/>
      <c r="DYB262" s="169"/>
      <c r="DYC262" s="169"/>
      <c r="DYD262" s="169"/>
      <c r="DYE262" s="169"/>
      <c r="DYF262" s="169"/>
      <c r="DYG262" s="169"/>
      <c r="DYH262" s="169"/>
      <c r="DYI262" s="169"/>
      <c r="DYJ262" s="169"/>
      <c r="DYK262" s="169"/>
      <c r="DYL262" s="169"/>
      <c r="DYM262" s="169"/>
      <c r="DYN262" s="169"/>
      <c r="DYO262" s="169"/>
      <c r="DYP262" s="169"/>
      <c r="DYQ262" s="169"/>
      <c r="DYR262" s="169"/>
      <c r="DYS262" s="169"/>
      <c r="DYT262" s="169"/>
      <c r="DYU262" s="169"/>
      <c r="DYV262" s="169"/>
      <c r="DYW262" s="169"/>
      <c r="DYX262" s="169"/>
      <c r="DYY262" s="169"/>
      <c r="DYZ262" s="169"/>
      <c r="DZA262" s="169"/>
      <c r="DZB262" s="169"/>
      <c r="DZC262" s="169"/>
      <c r="DZD262" s="169"/>
      <c r="DZE262" s="169"/>
      <c r="DZF262" s="169"/>
      <c r="DZG262" s="169"/>
      <c r="DZH262" s="169"/>
      <c r="DZI262" s="169"/>
      <c r="DZJ262" s="169"/>
      <c r="DZK262" s="169"/>
      <c r="DZL262" s="169"/>
      <c r="DZM262" s="169"/>
      <c r="DZN262" s="169"/>
      <c r="DZO262" s="169"/>
      <c r="DZP262" s="169"/>
      <c r="DZQ262" s="169"/>
      <c r="DZR262" s="169"/>
      <c r="DZS262" s="169"/>
      <c r="DZT262" s="169"/>
      <c r="DZU262" s="169"/>
      <c r="DZV262" s="169"/>
      <c r="DZW262" s="169"/>
      <c r="DZX262" s="169"/>
      <c r="DZY262" s="169"/>
      <c r="DZZ262" s="169"/>
      <c r="EAA262" s="169"/>
      <c r="EAB262" s="169"/>
      <c r="EAC262" s="169"/>
      <c r="EAD262" s="169"/>
      <c r="EAE262" s="169"/>
      <c r="EAF262" s="169"/>
      <c r="EAG262" s="169"/>
      <c r="EAH262" s="169"/>
      <c r="EAI262" s="169"/>
      <c r="EAJ262" s="169"/>
      <c r="EAK262" s="169"/>
      <c r="EAL262" s="169"/>
      <c r="EAM262" s="169"/>
      <c r="EAN262" s="169"/>
      <c r="EAO262" s="169"/>
      <c r="EAP262" s="169"/>
      <c r="EAQ262" s="169"/>
      <c r="EAR262" s="169"/>
      <c r="EAS262" s="169"/>
      <c r="EAT262" s="169"/>
      <c r="EAU262" s="169"/>
      <c r="EAV262" s="169"/>
      <c r="EAW262" s="169"/>
      <c r="EAX262" s="169"/>
      <c r="EAY262" s="169"/>
      <c r="EAZ262" s="169"/>
      <c r="EBA262" s="169"/>
      <c r="EBB262" s="169"/>
      <c r="EBC262" s="169"/>
      <c r="EBD262" s="169"/>
      <c r="EBE262" s="169"/>
      <c r="EBF262" s="169"/>
      <c r="EBG262" s="169"/>
      <c r="EBH262" s="169"/>
      <c r="EBI262" s="169"/>
      <c r="EBJ262" s="169"/>
      <c r="EBK262" s="169"/>
      <c r="EBL262" s="169"/>
      <c r="EBM262" s="169"/>
      <c r="EBN262" s="169"/>
      <c r="EBO262" s="169"/>
      <c r="EBP262" s="169"/>
      <c r="EBQ262" s="169"/>
      <c r="EBR262" s="169"/>
      <c r="EBS262" s="169"/>
      <c r="EBT262" s="169"/>
      <c r="EBU262" s="169"/>
      <c r="EBV262" s="169"/>
      <c r="EBW262" s="169"/>
      <c r="EBX262" s="169"/>
      <c r="EBY262" s="169"/>
      <c r="EBZ262" s="169"/>
      <c r="ECA262" s="169"/>
      <c r="ECB262" s="169"/>
      <c r="ECC262" s="169"/>
      <c r="ECD262" s="169"/>
      <c r="ECE262" s="169"/>
      <c r="ECF262" s="169"/>
      <c r="ECG262" s="169"/>
      <c r="ECH262" s="169"/>
      <c r="ECI262" s="169"/>
      <c r="ECJ262" s="169"/>
      <c r="ECK262" s="169"/>
      <c r="ECL262" s="169"/>
      <c r="ECM262" s="169"/>
      <c r="ECN262" s="169"/>
      <c r="ECO262" s="169"/>
      <c r="ECP262" s="169"/>
      <c r="ECQ262" s="169"/>
      <c r="ECR262" s="169"/>
      <c r="ECS262" s="169"/>
      <c r="ECT262" s="169"/>
      <c r="ECU262" s="169"/>
      <c r="ECV262" s="169"/>
      <c r="ECW262" s="169"/>
      <c r="ECX262" s="169"/>
      <c r="ECY262" s="169"/>
      <c r="ECZ262" s="169"/>
      <c r="EDA262" s="169"/>
      <c r="EDB262" s="169"/>
      <c r="EDC262" s="169"/>
      <c r="EDD262" s="169"/>
      <c r="EDE262" s="169"/>
      <c r="EDF262" s="169"/>
      <c r="EDG262" s="169"/>
      <c r="EDH262" s="169"/>
      <c r="EDI262" s="169"/>
      <c r="EDJ262" s="169"/>
      <c r="EDK262" s="169"/>
      <c r="EDL262" s="169"/>
      <c r="EDM262" s="169"/>
      <c r="EDN262" s="169"/>
      <c r="EDO262" s="169"/>
      <c r="EDP262" s="169"/>
      <c r="EDQ262" s="169"/>
      <c r="EDR262" s="169"/>
      <c r="EDS262" s="169"/>
      <c r="EDT262" s="169"/>
      <c r="EDU262" s="169"/>
      <c r="EDV262" s="169"/>
      <c r="EDW262" s="169"/>
      <c r="EDX262" s="169"/>
      <c r="EDY262" s="169"/>
      <c r="EDZ262" s="169"/>
      <c r="EEA262" s="169"/>
      <c r="EEB262" s="169"/>
      <c r="EEC262" s="169"/>
      <c r="EED262" s="169"/>
      <c r="EEE262" s="169"/>
      <c r="EEF262" s="169"/>
      <c r="EEG262" s="169"/>
      <c r="EEH262" s="169"/>
      <c r="EEI262" s="169"/>
      <c r="EEJ262" s="169"/>
      <c r="EEK262" s="169"/>
      <c r="EEL262" s="169"/>
      <c r="EEM262" s="169"/>
      <c r="EEN262" s="169"/>
      <c r="EEO262" s="169"/>
      <c r="EEP262" s="169"/>
      <c r="EEQ262" s="169"/>
      <c r="EER262" s="169"/>
      <c r="EES262" s="169"/>
      <c r="EET262" s="169"/>
      <c r="EEU262" s="169"/>
      <c r="EEV262" s="169"/>
      <c r="EEW262" s="169"/>
      <c r="EEX262" s="169"/>
      <c r="EEY262" s="169"/>
      <c r="EEZ262" s="169"/>
      <c r="EFA262" s="169"/>
      <c r="EFB262" s="169"/>
      <c r="EFC262" s="169"/>
      <c r="EFD262" s="169"/>
      <c r="EFE262" s="169"/>
      <c r="EFF262" s="169"/>
      <c r="EFG262" s="169"/>
      <c r="EFH262" s="169"/>
      <c r="EFI262" s="169"/>
      <c r="EFJ262" s="169"/>
      <c r="EFK262" s="169"/>
      <c r="EFL262" s="169"/>
      <c r="EFM262" s="169"/>
      <c r="EFN262" s="169"/>
      <c r="EFO262" s="169"/>
      <c r="EFP262" s="169"/>
      <c r="EFQ262" s="169"/>
      <c r="EFR262" s="169"/>
      <c r="EFS262" s="169"/>
      <c r="EFT262" s="169"/>
      <c r="EFU262" s="169"/>
      <c r="EFV262" s="169"/>
      <c r="EFW262" s="169"/>
      <c r="EFX262" s="169"/>
      <c r="EFY262" s="169"/>
      <c r="EFZ262" s="169"/>
      <c r="EGA262" s="169"/>
      <c r="EGB262" s="169"/>
      <c r="EGC262" s="169"/>
      <c r="EGD262" s="169"/>
      <c r="EGE262" s="169"/>
      <c r="EGF262" s="169"/>
      <c r="EGG262" s="169"/>
      <c r="EGH262" s="169"/>
      <c r="EGI262" s="169"/>
      <c r="EGJ262" s="169"/>
      <c r="EGK262" s="169"/>
      <c r="EGL262" s="169"/>
      <c r="EGM262" s="169"/>
      <c r="EGN262" s="169"/>
      <c r="EGO262" s="169"/>
      <c r="EGP262" s="169"/>
      <c r="EGQ262" s="169"/>
      <c r="EGR262" s="169"/>
      <c r="EGS262" s="169"/>
      <c r="EGT262" s="169"/>
      <c r="EGU262" s="169"/>
      <c r="EGV262" s="169"/>
      <c r="EGW262" s="169"/>
      <c r="EGX262" s="169"/>
      <c r="EGY262" s="169"/>
      <c r="EGZ262" s="169"/>
      <c r="EHA262" s="169"/>
      <c r="EHB262" s="169"/>
      <c r="EHC262" s="169"/>
      <c r="EHD262" s="169"/>
      <c r="EHE262" s="169"/>
      <c r="EHF262" s="169"/>
      <c r="EHG262" s="169"/>
      <c r="EHH262" s="169"/>
      <c r="EHI262" s="169"/>
      <c r="EHJ262" s="169"/>
      <c r="EHK262" s="169"/>
      <c r="EHL262" s="169"/>
      <c r="EHM262" s="169"/>
      <c r="EHN262" s="169"/>
      <c r="EHO262" s="169"/>
      <c r="EHP262" s="169"/>
      <c r="EHQ262" s="169"/>
      <c r="EHR262" s="169"/>
      <c r="EHS262" s="169"/>
      <c r="EHT262" s="169"/>
      <c r="EHU262" s="169"/>
      <c r="EHV262" s="169"/>
      <c r="EHW262" s="169"/>
      <c r="EHX262" s="169"/>
      <c r="EHY262" s="169"/>
      <c r="EHZ262" s="169"/>
      <c r="EIA262" s="169"/>
      <c r="EIB262" s="169"/>
      <c r="EIC262" s="169"/>
      <c r="EID262" s="169"/>
      <c r="EIE262" s="169"/>
      <c r="EIF262" s="169"/>
      <c r="EIG262" s="169"/>
      <c r="EIH262" s="169"/>
      <c r="EII262" s="169"/>
      <c r="EIJ262" s="169"/>
      <c r="EIK262" s="169"/>
      <c r="EIL262" s="169"/>
      <c r="EIM262" s="169"/>
      <c r="EIN262" s="169"/>
      <c r="EIO262" s="169"/>
      <c r="EIP262" s="169"/>
      <c r="EIQ262" s="169"/>
      <c r="EIR262" s="169"/>
      <c r="EIS262" s="169"/>
      <c r="EIT262" s="169"/>
      <c r="EIU262" s="169"/>
      <c r="EIV262" s="169"/>
      <c r="EIW262" s="169"/>
      <c r="EIX262" s="169"/>
      <c r="EIY262" s="169"/>
      <c r="EIZ262" s="169"/>
      <c r="EJA262" s="169"/>
      <c r="EJB262" s="169"/>
      <c r="EJC262" s="169"/>
      <c r="EJD262" s="169"/>
      <c r="EJE262" s="169"/>
      <c r="EJF262" s="169"/>
      <c r="EJG262" s="169"/>
      <c r="EJH262" s="169"/>
      <c r="EJI262" s="169"/>
      <c r="EJJ262" s="169"/>
      <c r="EJK262" s="169"/>
      <c r="EJL262" s="169"/>
      <c r="EJM262" s="169"/>
      <c r="EJN262" s="169"/>
      <c r="EJO262" s="169"/>
      <c r="EJP262" s="169"/>
      <c r="EJQ262" s="169"/>
      <c r="EJR262" s="169"/>
      <c r="EJS262" s="169"/>
      <c r="EJT262" s="169"/>
      <c r="EJU262" s="169"/>
      <c r="EJV262" s="169"/>
      <c r="EJW262" s="169"/>
      <c r="EJX262" s="169"/>
      <c r="EJY262" s="169"/>
      <c r="EJZ262" s="169"/>
      <c r="EKA262" s="169"/>
      <c r="EKB262" s="169"/>
      <c r="EKC262" s="169"/>
      <c r="EKD262" s="169"/>
      <c r="EKE262" s="169"/>
      <c r="EKF262" s="169"/>
      <c r="EKG262" s="169"/>
      <c r="EKH262" s="169"/>
      <c r="EKI262" s="169"/>
      <c r="EKJ262" s="169"/>
      <c r="EKK262" s="169"/>
      <c r="EKL262" s="169"/>
      <c r="EKM262" s="169"/>
      <c r="EKN262" s="169"/>
      <c r="EKO262" s="169"/>
      <c r="EKP262" s="169"/>
      <c r="EKQ262" s="169"/>
      <c r="EKR262" s="169"/>
      <c r="EKS262" s="169"/>
      <c r="EKT262" s="169"/>
      <c r="EKU262" s="169"/>
      <c r="EKV262" s="169"/>
      <c r="EKW262" s="169"/>
      <c r="EKX262" s="169"/>
      <c r="EKY262" s="169"/>
      <c r="EKZ262" s="169"/>
      <c r="ELA262" s="169"/>
      <c r="ELB262" s="169"/>
      <c r="ELC262" s="169"/>
      <c r="ELD262" s="169"/>
      <c r="ELE262" s="169"/>
      <c r="ELF262" s="169"/>
      <c r="ELG262" s="169"/>
      <c r="ELH262" s="169"/>
      <c r="ELI262" s="169"/>
      <c r="ELJ262" s="169"/>
      <c r="ELK262" s="169"/>
      <c r="ELL262" s="169"/>
      <c r="ELM262" s="169"/>
      <c r="ELN262" s="169"/>
      <c r="ELO262" s="169"/>
      <c r="ELP262" s="169"/>
      <c r="ELQ262" s="169"/>
      <c r="ELR262" s="169"/>
      <c r="ELS262" s="169"/>
      <c r="ELT262" s="169"/>
      <c r="ELU262" s="169"/>
      <c r="ELV262" s="169"/>
      <c r="ELW262" s="169"/>
      <c r="ELX262" s="169"/>
      <c r="ELY262" s="169"/>
      <c r="ELZ262" s="169"/>
      <c r="EMA262" s="169"/>
      <c r="EMB262" s="169"/>
      <c r="EMC262" s="169"/>
      <c r="EMD262" s="169"/>
      <c r="EME262" s="169"/>
      <c r="EMF262" s="169"/>
      <c r="EMG262" s="169"/>
      <c r="EMH262" s="169"/>
      <c r="EMI262" s="169"/>
      <c r="EMJ262" s="169"/>
      <c r="EMK262" s="169"/>
      <c r="EML262" s="169"/>
      <c r="EMM262" s="169"/>
      <c r="EMN262" s="169"/>
      <c r="EMO262" s="169"/>
      <c r="EMP262" s="169"/>
      <c r="EMQ262" s="169"/>
      <c r="EMR262" s="169"/>
      <c r="EMS262" s="169"/>
      <c r="EMT262" s="169"/>
      <c r="EMU262" s="169"/>
      <c r="EMV262" s="169"/>
      <c r="EMW262" s="169"/>
      <c r="EMX262" s="169"/>
      <c r="EMY262" s="169"/>
      <c r="EMZ262" s="169"/>
      <c r="ENA262" s="169"/>
      <c r="ENB262" s="169"/>
      <c r="ENC262" s="169"/>
      <c r="END262" s="169"/>
      <c r="ENE262" s="169"/>
      <c r="ENF262" s="169"/>
      <c r="ENG262" s="169"/>
      <c r="ENH262" s="169"/>
      <c r="ENI262" s="169"/>
      <c r="ENJ262" s="169"/>
      <c r="ENK262" s="169"/>
      <c r="ENL262" s="169"/>
      <c r="ENM262" s="169"/>
      <c r="ENN262" s="169"/>
      <c r="ENO262" s="169"/>
      <c r="ENP262" s="169"/>
      <c r="ENQ262" s="169"/>
      <c r="ENR262" s="169"/>
      <c r="ENS262" s="169"/>
      <c r="ENT262" s="169"/>
      <c r="ENU262" s="169"/>
      <c r="ENV262" s="169"/>
      <c r="ENW262" s="169"/>
      <c r="ENX262" s="169"/>
      <c r="ENY262" s="169"/>
      <c r="ENZ262" s="169"/>
      <c r="EOA262" s="169"/>
      <c r="EOB262" s="169"/>
      <c r="EOC262" s="169"/>
      <c r="EOD262" s="169"/>
      <c r="EOE262" s="169"/>
      <c r="EOF262" s="169"/>
      <c r="EOG262" s="169"/>
      <c r="EOH262" s="169"/>
      <c r="EOI262" s="169"/>
      <c r="EOJ262" s="169"/>
      <c r="EOK262" s="169"/>
      <c r="EOL262" s="169"/>
      <c r="EOM262" s="169"/>
      <c r="EON262" s="169"/>
      <c r="EOO262" s="169"/>
      <c r="EOP262" s="169"/>
      <c r="EOQ262" s="169"/>
      <c r="EOR262" s="169"/>
      <c r="EOS262" s="169"/>
      <c r="EOT262" s="169"/>
      <c r="EOU262" s="169"/>
      <c r="EOV262" s="169"/>
      <c r="EOW262" s="169"/>
      <c r="EOX262" s="169"/>
      <c r="EOY262" s="169"/>
      <c r="EOZ262" s="169"/>
      <c r="EPA262" s="169"/>
      <c r="EPB262" s="169"/>
      <c r="EPC262" s="169"/>
      <c r="EPD262" s="169"/>
      <c r="EPE262" s="169"/>
      <c r="EPF262" s="169"/>
      <c r="EPG262" s="169"/>
      <c r="EPH262" s="169"/>
      <c r="EPI262" s="169"/>
      <c r="EPJ262" s="169"/>
      <c r="EPK262" s="169"/>
      <c r="EPL262" s="169"/>
      <c r="EPM262" s="169"/>
      <c r="EPN262" s="169"/>
      <c r="EPO262" s="169"/>
      <c r="EPP262" s="169"/>
      <c r="EPQ262" s="169"/>
      <c r="EPR262" s="169"/>
      <c r="EPS262" s="169"/>
      <c r="EPT262" s="169"/>
      <c r="EPU262" s="169"/>
      <c r="EPV262" s="169"/>
      <c r="EPW262" s="169"/>
      <c r="EPX262" s="169"/>
      <c r="EPY262" s="169"/>
      <c r="EPZ262" s="169"/>
      <c r="EQA262" s="169"/>
      <c r="EQB262" s="169"/>
      <c r="EQC262" s="169"/>
      <c r="EQD262" s="169"/>
      <c r="EQE262" s="169"/>
      <c r="EQF262" s="169"/>
      <c r="EQG262" s="169"/>
      <c r="EQH262" s="169"/>
      <c r="EQI262" s="169"/>
      <c r="EQJ262" s="169"/>
      <c r="EQK262" s="169"/>
      <c r="EQL262" s="169"/>
      <c r="EQM262" s="169"/>
      <c r="EQN262" s="169"/>
      <c r="EQO262" s="169"/>
      <c r="EQP262" s="169"/>
      <c r="EQQ262" s="169"/>
      <c r="EQR262" s="169"/>
      <c r="EQS262" s="169"/>
      <c r="EQT262" s="169"/>
      <c r="EQU262" s="169"/>
      <c r="EQV262" s="169"/>
      <c r="EQW262" s="169"/>
      <c r="EQX262" s="169"/>
      <c r="EQY262" s="169"/>
      <c r="EQZ262" s="169"/>
      <c r="ERA262" s="169"/>
      <c r="ERB262" s="169"/>
      <c r="ERC262" s="169"/>
      <c r="ERD262" s="169"/>
      <c r="ERE262" s="169"/>
      <c r="ERF262" s="169"/>
      <c r="ERG262" s="169"/>
      <c r="ERH262" s="169"/>
      <c r="ERI262" s="169"/>
      <c r="ERJ262" s="169"/>
      <c r="ERK262" s="169"/>
      <c r="ERL262" s="169"/>
      <c r="ERM262" s="169"/>
      <c r="ERN262" s="169"/>
      <c r="ERO262" s="169"/>
      <c r="ERP262" s="169"/>
      <c r="ERQ262" s="169"/>
      <c r="ERR262" s="169"/>
      <c r="ERS262" s="169"/>
      <c r="ERT262" s="169"/>
      <c r="ERU262" s="169"/>
      <c r="ERV262" s="169"/>
      <c r="ERW262" s="169"/>
      <c r="ERX262" s="169"/>
      <c r="ERY262" s="169"/>
      <c r="ERZ262" s="169"/>
      <c r="ESA262" s="169"/>
      <c r="ESB262" s="169"/>
      <c r="ESC262" s="169"/>
      <c r="ESD262" s="169"/>
      <c r="ESE262" s="169"/>
      <c r="ESF262" s="169"/>
      <c r="ESG262" s="169"/>
      <c r="ESH262" s="169"/>
      <c r="ESI262" s="169"/>
      <c r="ESJ262" s="169"/>
      <c r="ESK262" s="169"/>
      <c r="ESL262" s="169"/>
      <c r="ESM262" s="169"/>
      <c r="ESN262" s="169"/>
      <c r="ESO262" s="169"/>
      <c r="ESP262" s="169"/>
      <c r="ESQ262" s="169"/>
      <c r="ESR262" s="169"/>
      <c r="ESS262" s="169"/>
      <c r="EST262" s="169"/>
      <c r="ESU262" s="169"/>
      <c r="ESV262" s="169"/>
      <c r="ESW262" s="169"/>
      <c r="ESX262" s="169"/>
      <c r="ESY262" s="169"/>
      <c r="ESZ262" s="169"/>
      <c r="ETA262" s="169"/>
      <c r="ETB262" s="169"/>
      <c r="ETC262" s="169"/>
      <c r="ETD262" s="169"/>
      <c r="ETE262" s="169"/>
      <c r="ETF262" s="169"/>
      <c r="ETG262" s="169"/>
      <c r="ETH262" s="169"/>
      <c r="ETI262" s="169"/>
      <c r="ETJ262" s="169"/>
      <c r="ETK262" s="169"/>
      <c r="ETL262" s="169"/>
      <c r="ETM262" s="169"/>
      <c r="ETN262" s="169"/>
      <c r="ETO262" s="169"/>
      <c r="ETP262" s="169"/>
      <c r="ETQ262" s="169"/>
      <c r="ETR262" s="169"/>
      <c r="ETS262" s="169"/>
      <c r="ETT262" s="169"/>
      <c r="ETU262" s="169"/>
      <c r="ETV262" s="169"/>
      <c r="ETW262" s="169"/>
      <c r="ETX262" s="169"/>
      <c r="ETY262" s="169"/>
      <c r="ETZ262" s="169"/>
      <c r="EUA262" s="169"/>
      <c r="EUB262" s="169"/>
      <c r="EUC262" s="169"/>
      <c r="EUD262" s="169"/>
      <c r="EUE262" s="169"/>
      <c r="EUF262" s="169"/>
      <c r="EUG262" s="169"/>
      <c r="EUH262" s="169"/>
      <c r="EUI262" s="169"/>
      <c r="EUJ262" s="169"/>
      <c r="EUK262" s="169"/>
      <c r="EUL262" s="169"/>
      <c r="EUM262" s="169"/>
      <c r="EUN262" s="169"/>
      <c r="EUO262" s="169"/>
      <c r="EUP262" s="169"/>
      <c r="EUQ262" s="169"/>
      <c r="EUR262" s="169"/>
      <c r="EUS262" s="169"/>
      <c r="EUT262" s="169"/>
      <c r="EUU262" s="169"/>
      <c r="EUV262" s="169"/>
      <c r="EUW262" s="169"/>
      <c r="EUX262" s="169"/>
      <c r="EUY262" s="169"/>
      <c r="EUZ262" s="169"/>
      <c r="EVA262" s="169"/>
      <c r="EVB262" s="169"/>
      <c r="EVC262" s="169"/>
      <c r="EVD262" s="169"/>
      <c r="EVE262" s="169"/>
      <c r="EVF262" s="169"/>
      <c r="EVG262" s="169"/>
      <c r="EVH262" s="169"/>
      <c r="EVI262" s="169"/>
      <c r="EVJ262" s="169"/>
      <c r="EVK262" s="169"/>
      <c r="EVL262" s="169"/>
      <c r="EVM262" s="169"/>
      <c r="EVN262" s="169"/>
      <c r="EVO262" s="169"/>
      <c r="EVP262" s="169"/>
      <c r="EVQ262" s="169"/>
      <c r="EVR262" s="169"/>
      <c r="EVS262" s="169"/>
      <c r="EVT262" s="169"/>
      <c r="EVU262" s="169"/>
      <c r="EVV262" s="169"/>
      <c r="EVW262" s="169"/>
      <c r="EVX262" s="169"/>
      <c r="EVY262" s="169"/>
      <c r="EVZ262" s="169"/>
      <c r="EWA262" s="169"/>
      <c r="EWB262" s="169"/>
      <c r="EWC262" s="169"/>
      <c r="EWD262" s="169"/>
      <c r="EWE262" s="169"/>
      <c r="EWF262" s="169"/>
      <c r="EWG262" s="169"/>
      <c r="EWH262" s="169"/>
      <c r="EWI262" s="169"/>
      <c r="EWJ262" s="169"/>
      <c r="EWK262" s="169"/>
      <c r="EWL262" s="169"/>
      <c r="EWM262" s="169"/>
      <c r="EWN262" s="169"/>
      <c r="EWO262" s="169"/>
      <c r="EWP262" s="169"/>
      <c r="EWQ262" s="169"/>
      <c r="EWR262" s="169"/>
      <c r="EWS262" s="169"/>
      <c r="EWT262" s="169"/>
      <c r="EWU262" s="169"/>
      <c r="EWV262" s="169"/>
      <c r="EWW262" s="169"/>
      <c r="EWX262" s="169"/>
      <c r="EWY262" s="169"/>
      <c r="EWZ262" s="169"/>
      <c r="EXA262" s="169"/>
      <c r="EXB262" s="169"/>
      <c r="EXC262" s="169"/>
      <c r="EXD262" s="169"/>
      <c r="EXE262" s="169"/>
      <c r="EXF262" s="169"/>
      <c r="EXG262" s="169"/>
      <c r="EXH262" s="169"/>
      <c r="EXI262" s="169"/>
      <c r="EXJ262" s="169"/>
      <c r="EXK262" s="169"/>
      <c r="EXL262" s="169"/>
      <c r="EXM262" s="169"/>
      <c r="EXN262" s="169"/>
      <c r="EXO262" s="169"/>
      <c r="EXP262" s="169"/>
      <c r="EXQ262" s="169"/>
      <c r="EXR262" s="169"/>
      <c r="EXS262" s="169"/>
      <c r="EXT262" s="169"/>
      <c r="EXU262" s="169"/>
      <c r="EXV262" s="169"/>
      <c r="EXW262" s="169"/>
      <c r="EXX262" s="169"/>
      <c r="EXY262" s="169"/>
      <c r="EXZ262" s="169"/>
      <c r="EYA262" s="169"/>
      <c r="EYB262" s="169"/>
      <c r="EYC262" s="169"/>
      <c r="EYD262" s="169"/>
      <c r="EYE262" s="169"/>
      <c r="EYF262" s="169"/>
      <c r="EYG262" s="169"/>
      <c r="EYH262" s="169"/>
      <c r="EYI262" s="169"/>
      <c r="EYJ262" s="169"/>
      <c r="EYK262" s="169"/>
      <c r="EYL262" s="169"/>
      <c r="EYM262" s="169"/>
      <c r="EYN262" s="169"/>
      <c r="EYO262" s="169"/>
      <c r="EYP262" s="169"/>
      <c r="EYQ262" s="169"/>
      <c r="EYR262" s="169"/>
      <c r="EYS262" s="169"/>
      <c r="EYT262" s="169"/>
      <c r="EYU262" s="169"/>
      <c r="EYV262" s="169"/>
      <c r="EYW262" s="169"/>
      <c r="EYX262" s="169"/>
      <c r="EYY262" s="169"/>
      <c r="EYZ262" s="169"/>
      <c r="EZA262" s="169"/>
      <c r="EZB262" s="169"/>
      <c r="EZC262" s="169"/>
      <c r="EZD262" s="169"/>
      <c r="EZE262" s="169"/>
      <c r="EZF262" s="169"/>
      <c r="EZG262" s="169"/>
      <c r="EZH262" s="169"/>
      <c r="EZI262" s="169"/>
      <c r="EZJ262" s="169"/>
      <c r="EZK262" s="169"/>
      <c r="EZL262" s="169"/>
      <c r="EZM262" s="169"/>
      <c r="EZN262" s="169"/>
      <c r="EZO262" s="169"/>
      <c r="EZP262" s="169"/>
      <c r="EZQ262" s="169"/>
      <c r="EZR262" s="169"/>
      <c r="EZS262" s="169"/>
      <c r="EZT262" s="169"/>
      <c r="EZU262" s="169"/>
      <c r="EZV262" s="169"/>
      <c r="EZW262" s="169"/>
      <c r="EZX262" s="169"/>
      <c r="EZY262" s="169"/>
      <c r="EZZ262" s="169"/>
      <c r="FAA262" s="169"/>
      <c r="FAB262" s="169"/>
      <c r="FAC262" s="169"/>
      <c r="FAD262" s="169"/>
      <c r="FAE262" s="169"/>
      <c r="FAF262" s="169"/>
      <c r="FAG262" s="169"/>
      <c r="FAH262" s="169"/>
      <c r="FAI262" s="169"/>
      <c r="FAJ262" s="169"/>
      <c r="FAK262" s="169"/>
      <c r="FAL262" s="169"/>
      <c r="FAM262" s="169"/>
      <c r="FAN262" s="169"/>
      <c r="FAO262" s="169"/>
      <c r="FAP262" s="169"/>
      <c r="FAQ262" s="169"/>
      <c r="FAR262" s="169"/>
      <c r="FAS262" s="169"/>
      <c r="FAT262" s="169"/>
      <c r="FAU262" s="169"/>
      <c r="FAV262" s="169"/>
      <c r="FAW262" s="169"/>
      <c r="FAX262" s="169"/>
      <c r="FAY262" s="169"/>
      <c r="FAZ262" s="169"/>
      <c r="FBA262" s="169"/>
      <c r="FBB262" s="169"/>
      <c r="FBC262" s="169"/>
      <c r="FBD262" s="169"/>
      <c r="FBE262" s="169"/>
      <c r="FBF262" s="169"/>
      <c r="FBG262" s="169"/>
      <c r="FBH262" s="169"/>
      <c r="FBI262" s="169"/>
      <c r="FBJ262" s="169"/>
      <c r="FBK262" s="169"/>
      <c r="FBL262" s="169"/>
      <c r="FBM262" s="169"/>
      <c r="FBN262" s="169"/>
      <c r="FBO262" s="169"/>
      <c r="FBP262" s="169"/>
      <c r="FBQ262" s="169"/>
      <c r="FBR262" s="169"/>
      <c r="FBS262" s="169"/>
      <c r="FBT262" s="169"/>
      <c r="FBU262" s="169"/>
      <c r="FBV262" s="169"/>
      <c r="FBW262" s="169"/>
      <c r="FBX262" s="169"/>
      <c r="FBY262" s="169"/>
      <c r="FBZ262" s="169"/>
      <c r="FCA262" s="169"/>
      <c r="FCB262" s="169"/>
      <c r="FCC262" s="169"/>
      <c r="FCD262" s="169"/>
      <c r="FCE262" s="169"/>
      <c r="FCF262" s="169"/>
      <c r="FCG262" s="169"/>
      <c r="FCH262" s="169"/>
      <c r="FCI262" s="169"/>
      <c r="FCJ262" s="169"/>
      <c r="FCK262" s="169"/>
      <c r="FCL262" s="169"/>
      <c r="FCM262" s="169"/>
      <c r="FCN262" s="169"/>
      <c r="FCO262" s="169"/>
      <c r="FCP262" s="169"/>
      <c r="FCQ262" s="169"/>
      <c r="FCR262" s="169"/>
      <c r="FCS262" s="169"/>
      <c r="FCT262" s="169"/>
      <c r="FCU262" s="169"/>
      <c r="FCV262" s="169"/>
      <c r="FCW262" s="169"/>
      <c r="FCX262" s="169"/>
      <c r="FCY262" s="169"/>
      <c r="FCZ262" s="169"/>
      <c r="FDA262" s="169"/>
      <c r="FDB262" s="169"/>
      <c r="FDC262" s="169"/>
      <c r="FDD262" s="169"/>
      <c r="FDE262" s="169"/>
      <c r="FDF262" s="169"/>
      <c r="FDG262" s="169"/>
      <c r="FDH262" s="169"/>
      <c r="FDI262" s="169"/>
      <c r="FDJ262" s="169"/>
      <c r="FDK262" s="169"/>
      <c r="FDL262" s="169"/>
      <c r="FDM262" s="169"/>
      <c r="FDN262" s="169"/>
      <c r="FDO262" s="169"/>
      <c r="FDP262" s="169"/>
      <c r="FDQ262" s="169"/>
      <c r="FDR262" s="169"/>
      <c r="FDS262" s="169"/>
      <c r="FDT262" s="169"/>
      <c r="FDU262" s="169"/>
      <c r="FDV262" s="169"/>
      <c r="FDW262" s="169"/>
      <c r="FDX262" s="169"/>
      <c r="FDY262" s="169"/>
      <c r="FDZ262" s="169"/>
      <c r="FEA262" s="169"/>
      <c r="FEB262" s="169"/>
      <c r="FEC262" s="169"/>
      <c r="FED262" s="169"/>
      <c r="FEE262" s="169"/>
      <c r="FEF262" s="169"/>
      <c r="FEG262" s="169"/>
      <c r="FEH262" s="169"/>
      <c r="FEI262" s="169"/>
      <c r="FEJ262" s="169"/>
      <c r="FEK262" s="169"/>
      <c r="FEL262" s="169"/>
      <c r="FEM262" s="169"/>
      <c r="FEN262" s="169"/>
      <c r="FEO262" s="169"/>
      <c r="FEP262" s="169"/>
      <c r="FEQ262" s="169"/>
      <c r="FER262" s="169"/>
      <c r="FES262" s="169"/>
      <c r="FET262" s="169"/>
      <c r="FEU262" s="169"/>
      <c r="FEV262" s="169"/>
      <c r="FEW262" s="169"/>
      <c r="FEX262" s="169"/>
      <c r="FEY262" s="169"/>
      <c r="FEZ262" s="169"/>
      <c r="FFA262" s="169"/>
      <c r="FFB262" s="169"/>
      <c r="FFC262" s="169"/>
      <c r="FFD262" s="169"/>
      <c r="FFE262" s="169"/>
      <c r="FFF262" s="169"/>
      <c r="FFG262" s="169"/>
      <c r="FFH262" s="169"/>
      <c r="FFI262" s="169"/>
      <c r="FFJ262" s="169"/>
      <c r="FFK262" s="169"/>
      <c r="FFL262" s="169"/>
      <c r="FFM262" s="169"/>
      <c r="FFN262" s="169"/>
      <c r="FFO262" s="169"/>
      <c r="FFP262" s="169"/>
      <c r="FFQ262" s="169"/>
      <c r="FFR262" s="169"/>
      <c r="FFS262" s="169"/>
      <c r="FFT262" s="169"/>
      <c r="FFU262" s="169"/>
      <c r="FFV262" s="169"/>
      <c r="FFW262" s="169"/>
      <c r="FFX262" s="169"/>
      <c r="FFY262" s="169"/>
      <c r="FFZ262" s="169"/>
      <c r="FGA262" s="169"/>
      <c r="FGB262" s="169"/>
      <c r="FGC262" s="169"/>
      <c r="FGD262" s="169"/>
      <c r="FGE262" s="169"/>
      <c r="FGF262" s="169"/>
      <c r="FGG262" s="169"/>
      <c r="FGH262" s="169"/>
      <c r="FGI262" s="169"/>
      <c r="FGJ262" s="169"/>
      <c r="FGK262" s="169"/>
      <c r="FGL262" s="169"/>
      <c r="FGM262" s="169"/>
      <c r="FGN262" s="169"/>
      <c r="FGO262" s="169"/>
      <c r="FGP262" s="169"/>
      <c r="FGQ262" s="169"/>
      <c r="FGR262" s="169"/>
      <c r="FGS262" s="169"/>
      <c r="FGT262" s="169"/>
      <c r="FGU262" s="169"/>
      <c r="FGV262" s="169"/>
      <c r="FGW262" s="169"/>
      <c r="FGX262" s="169"/>
      <c r="FGY262" s="169"/>
      <c r="FGZ262" s="169"/>
      <c r="FHA262" s="169"/>
      <c r="FHB262" s="169"/>
      <c r="FHC262" s="169"/>
      <c r="FHD262" s="169"/>
      <c r="FHE262" s="169"/>
      <c r="FHF262" s="169"/>
      <c r="FHG262" s="169"/>
      <c r="FHH262" s="169"/>
      <c r="FHI262" s="169"/>
      <c r="FHJ262" s="169"/>
      <c r="FHK262" s="169"/>
      <c r="FHL262" s="169"/>
      <c r="FHM262" s="169"/>
      <c r="FHN262" s="169"/>
      <c r="FHO262" s="169"/>
      <c r="FHP262" s="169"/>
      <c r="FHQ262" s="169"/>
      <c r="FHR262" s="169"/>
      <c r="FHS262" s="169"/>
      <c r="FHT262" s="169"/>
      <c r="FHU262" s="169"/>
      <c r="FHV262" s="169"/>
      <c r="FHW262" s="169"/>
      <c r="FHX262" s="169"/>
      <c r="FHY262" s="169"/>
      <c r="FHZ262" s="169"/>
      <c r="FIA262" s="169"/>
      <c r="FIB262" s="169"/>
      <c r="FIC262" s="169"/>
      <c r="FID262" s="169"/>
      <c r="FIE262" s="169"/>
      <c r="FIF262" s="169"/>
      <c r="FIG262" s="169"/>
      <c r="FIH262" s="169"/>
      <c r="FII262" s="169"/>
      <c r="FIJ262" s="169"/>
      <c r="FIK262" s="169"/>
      <c r="FIL262" s="169"/>
      <c r="FIM262" s="169"/>
      <c r="FIN262" s="169"/>
      <c r="FIO262" s="169"/>
      <c r="FIP262" s="169"/>
      <c r="FIQ262" s="169"/>
      <c r="FIR262" s="169"/>
      <c r="FIS262" s="169"/>
      <c r="FIT262" s="169"/>
      <c r="FIU262" s="169"/>
      <c r="FIV262" s="169"/>
      <c r="FIW262" s="169"/>
      <c r="FIX262" s="169"/>
      <c r="FIY262" s="169"/>
      <c r="FIZ262" s="169"/>
      <c r="FJA262" s="169"/>
      <c r="FJB262" s="169"/>
      <c r="FJC262" s="169"/>
      <c r="FJD262" s="169"/>
      <c r="FJE262" s="169"/>
      <c r="FJF262" s="169"/>
      <c r="FJG262" s="169"/>
      <c r="FJH262" s="169"/>
      <c r="FJI262" s="169"/>
      <c r="FJJ262" s="169"/>
      <c r="FJK262" s="169"/>
      <c r="FJL262" s="169"/>
      <c r="FJM262" s="169"/>
      <c r="FJN262" s="169"/>
      <c r="FJO262" s="169"/>
      <c r="FJP262" s="169"/>
      <c r="FJQ262" s="169"/>
      <c r="FJR262" s="169"/>
      <c r="FJS262" s="169"/>
      <c r="FJT262" s="169"/>
      <c r="FJU262" s="169"/>
      <c r="FJV262" s="169"/>
      <c r="FJW262" s="169"/>
      <c r="FJX262" s="169"/>
      <c r="FJY262" s="169"/>
      <c r="FJZ262" s="169"/>
      <c r="FKA262" s="169"/>
      <c r="FKB262" s="169"/>
      <c r="FKC262" s="169"/>
      <c r="FKD262" s="169"/>
      <c r="FKE262" s="169"/>
      <c r="FKF262" s="169"/>
      <c r="FKG262" s="169"/>
      <c r="FKH262" s="169"/>
      <c r="FKI262" s="169"/>
      <c r="FKJ262" s="169"/>
      <c r="FKK262" s="169"/>
      <c r="FKL262" s="169"/>
      <c r="FKM262" s="169"/>
      <c r="FKN262" s="169"/>
      <c r="FKO262" s="169"/>
      <c r="FKP262" s="169"/>
      <c r="FKQ262" s="169"/>
      <c r="FKR262" s="169"/>
      <c r="FKS262" s="169"/>
      <c r="FKT262" s="169"/>
      <c r="FKU262" s="169"/>
      <c r="FKV262" s="169"/>
      <c r="FKW262" s="169"/>
      <c r="FKX262" s="169"/>
      <c r="FKY262" s="169"/>
      <c r="FKZ262" s="169"/>
      <c r="FLA262" s="169"/>
      <c r="FLB262" s="169"/>
      <c r="FLC262" s="169"/>
      <c r="FLD262" s="169"/>
      <c r="FLE262" s="169"/>
      <c r="FLF262" s="169"/>
      <c r="FLG262" s="169"/>
      <c r="FLH262" s="169"/>
      <c r="FLI262" s="169"/>
      <c r="FLJ262" s="169"/>
      <c r="FLK262" s="169"/>
      <c r="FLL262" s="169"/>
      <c r="FLM262" s="169"/>
      <c r="FLN262" s="169"/>
      <c r="FLO262" s="169"/>
      <c r="FLP262" s="169"/>
      <c r="FLQ262" s="169"/>
      <c r="FLR262" s="169"/>
      <c r="FLS262" s="169"/>
      <c r="FLT262" s="169"/>
      <c r="FLU262" s="169"/>
      <c r="FLV262" s="169"/>
      <c r="FLW262" s="169"/>
      <c r="FLX262" s="169"/>
      <c r="FLY262" s="169"/>
      <c r="FLZ262" s="169"/>
      <c r="FMA262" s="169"/>
      <c r="FMB262" s="169"/>
      <c r="FMC262" s="169"/>
      <c r="FMD262" s="169"/>
      <c r="FME262" s="169"/>
      <c r="FMF262" s="169"/>
      <c r="FMG262" s="169"/>
      <c r="FMH262" s="169"/>
      <c r="FMI262" s="169"/>
      <c r="FMJ262" s="169"/>
      <c r="FMK262" s="169"/>
      <c r="FML262" s="169"/>
      <c r="FMM262" s="169"/>
      <c r="FMN262" s="169"/>
      <c r="FMO262" s="169"/>
      <c r="FMP262" s="169"/>
      <c r="FMQ262" s="169"/>
      <c r="FMR262" s="169"/>
      <c r="FMS262" s="169"/>
      <c r="FMT262" s="169"/>
      <c r="FMU262" s="169"/>
      <c r="FMV262" s="169"/>
      <c r="FMW262" s="169"/>
      <c r="FMX262" s="169"/>
      <c r="FMY262" s="169"/>
      <c r="FMZ262" s="169"/>
      <c r="FNA262" s="169"/>
      <c r="FNB262" s="169"/>
      <c r="FNC262" s="169"/>
      <c r="FND262" s="169"/>
      <c r="FNE262" s="169"/>
      <c r="FNF262" s="169"/>
      <c r="FNG262" s="169"/>
      <c r="FNH262" s="169"/>
      <c r="FNI262" s="169"/>
      <c r="FNJ262" s="169"/>
      <c r="FNK262" s="169"/>
      <c r="FNL262" s="169"/>
      <c r="FNM262" s="169"/>
      <c r="FNN262" s="169"/>
      <c r="FNO262" s="169"/>
      <c r="FNP262" s="169"/>
      <c r="FNQ262" s="169"/>
      <c r="FNR262" s="169"/>
      <c r="FNS262" s="169"/>
      <c r="FNT262" s="169"/>
      <c r="FNU262" s="169"/>
      <c r="FNV262" s="169"/>
      <c r="FNW262" s="169"/>
      <c r="FNX262" s="169"/>
      <c r="FNY262" s="169"/>
      <c r="FNZ262" s="169"/>
      <c r="FOA262" s="169"/>
      <c r="FOB262" s="169"/>
      <c r="FOC262" s="169"/>
      <c r="FOD262" s="169"/>
      <c r="FOE262" s="169"/>
      <c r="FOF262" s="169"/>
      <c r="FOG262" s="169"/>
      <c r="FOH262" s="169"/>
      <c r="FOI262" s="169"/>
      <c r="FOJ262" s="169"/>
      <c r="FOK262" s="169"/>
      <c r="FOL262" s="169"/>
      <c r="FOM262" s="169"/>
      <c r="FON262" s="169"/>
      <c r="FOO262" s="169"/>
      <c r="FOP262" s="169"/>
      <c r="FOQ262" s="169"/>
      <c r="FOR262" s="169"/>
      <c r="FOS262" s="169"/>
      <c r="FOT262" s="169"/>
      <c r="FOU262" s="169"/>
      <c r="FOV262" s="169"/>
      <c r="FOW262" s="169"/>
      <c r="FOX262" s="169"/>
      <c r="FOY262" s="169"/>
      <c r="FOZ262" s="169"/>
      <c r="FPA262" s="169"/>
      <c r="FPB262" s="169"/>
      <c r="FPC262" s="169"/>
      <c r="FPD262" s="169"/>
      <c r="FPE262" s="169"/>
      <c r="FPF262" s="169"/>
      <c r="FPG262" s="169"/>
      <c r="FPH262" s="169"/>
      <c r="FPI262" s="169"/>
      <c r="FPJ262" s="169"/>
      <c r="FPK262" s="169"/>
      <c r="FPL262" s="169"/>
      <c r="FPM262" s="169"/>
      <c r="FPN262" s="169"/>
      <c r="FPO262" s="169"/>
      <c r="FPP262" s="169"/>
      <c r="FPQ262" s="169"/>
      <c r="FPR262" s="169"/>
      <c r="FPS262" s="169"/>
      <c r="FPT262" s="169"/>
      <c r="FPU262" s="169"/>
      <c r="FPV262" s="169"/>
      <c r="FPW262" s="169"/>
      <c r="FPX262" s="169"/>
      <c r="FPY262" s="169"/>
      <c r="FPZ262" s="169"/>
      <c r="FQA262" s="169"/>
      <c r="FQB262" s="169"/>
      <c r="FQC262" s="169"/>
      <c r="FQD262" s="169"/>
      <c r="FQE262" s="169"/>
      <c r="FQF262" s="169"/>
      <c r="FQG262" s="169"/>
      <c r="FQH262" s="169"/>
      <c r="FQI262" s="169"/>
      <c r="FQJ262" s="169"/>
      <c r="FQK262" s="169"/>
      <c r="FQL262" s="169"/>
      <c r="FQM262" s="169"/>
      <c r="FQN262" s="169"/>
      <c r="FQO262" s="169"/>
      <c r="FQP262" s="169"/>
      <c r="FQQ262" s="169"/>
      <c r="FQR262" s="169"/>
      <c r="FQS262" s="169"/>
      <c r="FQT262" s="169"/>
      <c r="FQU262" s="169"/>
      <c r="FQV262" s="169"/>
      <c r="FQW262" s="169"/>
      <c r="FQX262" s="169"/>
      <c r="FQY262" s="169"/>
      <c r="FQZ262" s="169"/>
      <c r="FRA262" s="169"/>
      <c r="FRB262" s="169"/>
      <c r="FRC262" s="169"/>
      <c r="FRD262" s="169"/>
      <c r="FRE262" s="169"/>
      <c r="FRF262" s="169"/>
      <c r="FRG262" s="169"/>
      <c r="FRH262" s="169"/>
      <c r="FRI262" s="169"/>
      <c r="FRJ262" s="169"/>
      <c r="FRK262" s="169"/>
      <c r="FRL262" s="169"/>
      <c r="FRM262" s="169"/>
      <c r="FRN262" s="169"/>
      <c r="FRO262" s="169"/>
      <c r="FRP262" s="169"/>
      <c r="FRQ262" s="169"/>
      <c r="FRR262" s="169"/>
      <c r="FRS262" s="169"/>
      <c r="FRT262" s="169"/>
      <c r="FRU262" s="169"/>
      <c r="FRV262" s="169"/>
      <c r="FRW262" s="169"/>
      <c r="FRX262" s="169"/>
      <c r="FRY262" s="169"/>
      <c r="FRZ262" s="169"/>
      <c r="FSA262" s="169"/>
      <c r="FSB262" s="169"/>
      <c r="FSC262" s="169"/>
      <c r="FSD262" s="169"/>
      <c r="FSE262" s="169"/>
      <c r="FSF262" s="169"/>
      <c r="FSG262" s="169"/>
      <c r="FSH262" s="169"/>
      <c r="FSI262" s="169"/>
      <c r="FSJ262" s="169"/>
      <c r="FSK262" s="169"/>
      <c r="FSL262" s="169"/>
      <c r="FSM262" s="169"/>
      <c r="FSN262" s="169"/>
      <c r="FSO262" s="169"/>
      <c r="FSP262" s="169"/>
      <c r="FSQ262" s="169"/>
      <c r="FSR262" s="169"/>
      <c r="FSS262" s="169"/>
      <c r="FST262" s="169"/>
      <c r="FSU262" s="169"/>
      <c r="FSV262" s="169"/>
      <c r="FSW262" s="169"/>
      <c r="FSX262" s="169"/>
      <c r="FSY262" s="169"/>
      <c r="FSZ262" s="169"/>
      <c r="FTA262" s="169"/>
      <c r="FTB262" s="169"/>
      <c r="FTC262" s="169"/>
      <c r="FTD262" s="169"/>
      <c r="FTE262" s="169"/>
      <c r="FTF262" s="169"/>
      <c r="FTG262" s="169"/>
      <c r="FTH262" s="169"/>
      <c r="FTI262" s="169"/>
      <c r="FTJ262" s="169"/>
      <c r="FTK262" s="169"/>
      <c r="FTL262" s="169"/>
      <c r="FTM262" s="169"/>
      <c r="FTN262" s="169"/>
      <c r="FTO262" s="169"/>
      <c r="FTP262" s="169"/>
      <c r="FTQ262" s="169"/>
      <c r="FTR262" s="169"/>
      <c r="FTS262" s="169"/>
      <c r="FTT262" s="169"/>
      <c r="FTU262" s="169"/>
      <c r="FTV262" s="169"/>
      <c r="FTW262" s="169"/>
      <c r="FTX262" s="169"/>
      <c r="FTY262" s="169"/>
      <c r="FTZ262" s="169"/>
      <c r="FUA262" s="169"/>
      <c r="FUB262" s="169"/>
      <c r="FUC262" s="169"/>
      <c r="FUD262" s="169"/>
      <c r="FUE262" s="169"/>
      <c r="FUF262" s="169"/>
      <c r="FUG262" s="169"/>
      <c r="FUH262" s="169"/>
      <c r="FUI262" s="169"/>
      <c r="FUJ262" s="169"/>
      <c r="FUK262" s="169"/>
      <c r="FUL262" s="169"/>
      <c r="FUM262" s="169"/>
      <c r="FUN262" s="169"/>
      <c r="FUO262" s="169"/>
      <c r="FUP262" s="169"/>
      <c r="FUQ262" s="169"/>
      <c r="FUR262" s="169"/>
      <c r="FUS262" s="169"/>
      <c r="FUT262" s="169"/>
      <c r="FUU262" s="169"/>
      <c r="FUV262" s="169"/>
      <c r="FUW262" s="169"/>
      <c r="FUX262" s="169"/>
      <c r="FUY262" s="169"/>
      <c r="FUZ262" s="169"/>
      <c r="FVA262" s="169"/>
      <c r="FVB262" s="169"/>
      <c r="FVC262" s="169"/>
      <c r="FVD262" s="169"/>
      <c r="FVE262" s="169"/>
      <c r="FVF262" s="169"/>
      <c r="FVG262" s="169"/>
      <c r="FVH262" s="169"/>
      <c r="FVI262" s="169"/>
      <c r="FVJ262" s="169"/>
      <c r="FVK262" s="169"/>
      <c r="FVL262" s="169"/>
      <c r="FVM262" s="169"/>
      <c r="FVN262" s="169"/>
      <c r="FVO262" s="169"/>
      <c r="FVP262" s="169"/>
      <c r="FVQ262" s="169"/>
      <c r="FVR262" s="169"/>
      <c r="FVS262" s="169"/>
      <c r="FVT262" s="169"/>
      <c r="FVU262" s="169"/>
      <c r="FVV262" s="169"/>
      <c r="FVW262" s="169"/>
      <c r="FVX262" s="169"/>
      <c r="FVY262" s="169"/>
      <c r="FVZ262" s="169"/>
      <c r="FWA262" s="169"/>
      <c r="FWB262" s="169"/>
      <c r="FWC262" s="169"/>
      <c r="FWD262" s="169"/>
      <c r="FWE262" s="169"/>
      <c r="FWF262" s="169"/>
      <c r="FWG262" s="169"/>
      <c r="FWH262" s="169"/>
      <c r="FWI262" s="169"/>
      <c r="FWJ262" s="169"/>
      <c r="FWK262" s="169"/>
      <c r="FWL262" s="169"/>
      <c r="FWM262" s="169"/>
      <c r="FWN262" s="169"/>
      <c r="FWO262" s="169"/>
      <c r="FWP262" s="169"/>
      <c r="FWQ262" s="169"/>
      <c r="FWR262" s="169"/>
      <c r="FWS262" s="169"/>
      <c r="FWT262" s="169"/>
      <c r="FWU262" s="169"/>
      <c r="FWV262" s="169"/>
      <c r="FWW262" s="169"/>
      <c r="FWX262" s="169"/>
      <c r="FWY262" s="169"/>
      <c r="FWZ262" s="169"/>
      <c r="FXA262" s="169"/>
      <c r="FXB262" s="169"/>
      <c r="FXC262" s="169"/>
      <c r="FXD262" s="169"/>
      <c r="FXE262" s="169"/>
      <c r="FXF262" s="169"/>
      <c r="FXG262" s="169"/>
      <c r="FXH262" s="169"/>
      <c r="FXI262" s="169"/>
      <c r="FXJ262" s="169"/>
      <c r="FXK262" s="169"/>
      <c r="FXL262" s="169"/>
      <c r="FXM262" s="169"/>
      <c r="FXN262" s="169"/>
      <c r="FXO262" s="169"/>
      <c r="FXP262" s="169"/>
      <c r="FXQ262" s="169"/>
      <c r="FXR262" s="169"/>
      <c r="FXS262" s="169"/>
      <c r="FXT262" s="169"/>
      <c r="FXU262" s="169"/>
      <c r="FXV262" s="169"/>
      <c r="FXW262" s="169"/>
      <c r="FXX262" s="169"/>
      <c r="FXY262" s="169"/>
      <c r="FXZ262" s="169"/>
      <c r="FYA262" s="169"/>
      <c r="FYB262" s="169"/>
      <c r="FYC262" s="169"/>
      <c r="FYD262" s="169"/>
      <c r="FYE262" s="169"/>
      <c r="FYF262" s="169"/>
      <c r="FYG262" s="169"/>
      <c r="FYH262" s="169"/>
      <c r="FYI262" s="169"/>
      <c r="FYJ262" s="169"/>
      <c r="FYK262" s="169"/>
      <c r="FYL262" s="169"/>
      <c r="FYM262" s="169"/>
      <c r="FYN262" s="169"/>
      <c r="FYO262" s="169"/>
      <c r="FYP262" s="169"/>
      <c r="FYQ262" s="169"/>
      <c r="FYR262" s="169"/>
      <c r="FYS262" s="169"/>
      <c r="FYT262" s="169"/>
      <c r="FYU262" s="169"/>
      <c r="FYV262" s="169"/>
      <c r="FYW262" s="169"/>
      <c r="FYX262" s="169"/>
      <c r="FYY262" s="169"/>
      <c r="FYZ262" s="169"/>
      <c r="FZA262" s="169"/>
      <c r="FZB262" s="169"/>
      <c r="FZC262" s="169"/>
      <c r="FZD262" s="169"/>
      <c r="FZE262" s="169"/>
      <c r="FZF262" s="169"/>
      <c r="FZG262" s="169"/>
      <c r="FZH262" s="169"/>
      <c r="FZI262" s="169"/>
      <c r="FZJ262" s="169"/>
      <c r="FZK262" s="169"/>
      <c r="FZL262" s="169"/>
      <c r="FZM262" s="169"/>
      <c r="FZN262" s="169"/>
      <c r="FZO262" s="169"/>
      <c r="FZP262" s="169"/>
      <c r="FZQ262" s="169"/>
      <c r="FZR262" s="169"/>
      <c r="FZS262" s="169"/>
      <c r="FZT262" s="169"/>
      <c r="FZU262" s="169"/>
      <c r="FZV262" s="169"/>
      <c r="FZW262" s="169"/>
      <c r="FZX262" s="169"/>
      <c r="FZY262" s="169"/>
      <c r="FZZ262" s="169"/>
      <c r="GAA262" s="169"/>
      <c r="GAB262" s="169"/>
      <c r="GAC262" s="169"/>
      <c r="GAD262" s="169"/>
      <c r="GAE262" s="169"/>
      <c r="GAF262" s="169"/>
      <c r="GAG262" s="169"/>
      <c r="GAH262" s="169"/>
      <c r="GAI262" s="169"/>
      <c r="GAJ262" s="169"/>
      <c r="GAK262" s="169"/>
      <c r="GAL262" s="169"/>
      <c r="GAM262" s="169"/>
      <c r="GAN262" s="169"/>
      <c r="GAO262" s="169"/>
      <c r="GAP262" s="169"/>
      <c r="GAQ262" s="169"/>
      <c r="GAR262" s="169"/>
      <c r="GAS262" s="169"/>
      <c r="GAT262" s="169"/>
      <c r="GAU262" s="169"/>
      <c r="GAV262" s="169"/>
      <c r="GAW262" s="169"/>
      <c r="GAX262" s="169"/>
      <c r="GAY262" s="169"/>
      <c r="GAZ262" s="169"/>
      <c r="GBA262" s="169"/>
      <c r="GBB262" s="169"/>
      <c r="GBC262" s="169"/>
      <c r="GBD262" s="169"/>
      <c r="GBE262" s="169"/>
      <c r="GBF262" s="169"/>
      <c r="GBG262" s="169"/>
      <c r="GBH262" s="169"/>
      <c r="GBI262" s="169"/>
      <c r="GBJ262" s="169"/>
      <c r="GBK262" s="169"/>
      <c r="GBL262" s="169"/>
      <c r="GBM262" s="169"/>
      <c r="GBN262" s="169"/>
      <c r="GBO262" s="169"/>
      <c r="GBP262" s="169"/>
      <c r="GBQ262" s="169"/>
      <c r="GBR262" s="169"/>
      <c r="GBS262" s="169"/>
      <c r="GBT262" s="169"/>
      <c r="GBU262" s="169"/>
      <c r="GBV262" s="169"/>
      <c r="GBW262" s="169"/>
      <c r="GBX262" s="169"/>
      <c r="GBY262" s="169"/>
      <c r="GBZ262" s="169"/>
      <c r="GCA262" s="169"/>
      <c r="GCB262" s="169"/>
      <c r="GCC262" s="169"/>
      <c r="GCD262" s="169"/>
      <c r="GCE262" s="169"/>
      <c r="GCF262" s="169"/>
      <c r="GCG262" s="169"/>
      <c r="GCH262" s="169"/>
      <c r="GCI262" s="169"/>
      <c r="GCJ262" s="169"/>
      <c r="GCK262" s="169"/>
      <c r="GCL262" s="169"/>
      <c r="GCM262" s="169"/>
      <c r="GCN262" s="169"/>
      <c r="GCO262" s="169"/>
      <c r="GCP262" s="169"/>
      <c r="GCQ262" s="169"/>
      <c r="GCR262" s="169"/>
      <c r="GCS262" s="169"/>
      <c r="GCT262" s="169"/>
      <c r="GCU262" s="169"/>
      <c r="GCV262" s="169"/>
      <c r="GCW262" s="169"/>
      <c r="GCX262" s="169"/>
      <c r="GCY262" s="169"/>
      <c r="GCZ262" s="169"/>
      <c r="GDA262" s="169"/>
      <c r="GDB262" s="169"/>
      <c r="GDC262" s="169"/>
      <c r="GDD262" s="169"/>
      <c r="GDE262" s="169"/>
      <c r="GDF262" s="169"/>
      <c r="GDG262" s="169"/>
      <c r="GDH262" s="169"/>
      <c r="GDI262" s="169"/>
      <c r="GDJ262" s="169"/>
      <c r="GDK262" s="169"/>
      <c r="GDL262" s="169"/>
      <c r="GDM262" s="169"/>
      <c r="GDN262" s="169"/>
      <c r="GDO262" s="169"/>
      <c r="GDP262" s="169"/>
      <c r="GDQ262" s="169"/>
      <c r="GDR262" s="169"/>
      <c r="GDS262" s="169"/>
      <c r="GDT262" s="169"/>
      <c r="GDU262" s="169"/>
      <c r="GDV262" s="169"/>
      <c r="GDW262" s="169"/>
      <c r="GDX262" s="169"/>
      <c r="GDY262" s="169"/>
      <c r="GDZ262" s="169"/>
      <c r="GEA262" s="169"/>
      <c r="GEB262" s="169"/>
      <c r="GEC262" s="169"/>
      <c r="GED262" s="169"/>
      <c r="GEE262" s="169"/>
      <c r="GEF262" s="169"/>
      <c r="GEG262" s="169"/>
      <c r="GEH262" s="169"/>
      <c r="GEI262" s="169"/>
      <c r="GEJ262" s="169"/>
      <c r="GEK262" s="169"/>
      <c r="GEL262" s="169"/>
      <c r="GEM262" s="169"/>
      <c r="GEN262" s="169"/>
      <c r="GEO262" s="169"/>
      <c r="GEP262" s="169"/>
      <c r="GEQ262" s="169"/>
      <c r="GER262" s="169"/>
      <c r="GES262" s="169"/>
      <c r="GET262" s="169"/>
      <c r="GEU262" s="169"/>
      <c r="GEV262" s="169"/>
      <c r="GEW262" s="169"/>
      <c r="GEX262" s="169"/>
      <c r="GEY262" s="169"/>
      <c r="GEZ262" s="169"/>
      <c r="GFA262" s="169"/>
      <c r="GFB262" s="169"/>
      <c r="GFC262" s="169"/>
      <c r="GFD262" s="169"/>
      <c r="GFE262" s="169"/>
      <c r="GFF262" s="169"/>
      <c r="GFG262" s="169"/>
      <c r="GFH262" s="169"/>
      <c r="GFI262" s="169"/>
      <c r="GFJ262" s="169"/>
      <c r="GFK262" s="169"/>
      <c r="GFL262" s="169"/>
      <c r="GFM262" s="169"/>
      <c r="GFN262" s="169"/>
      <c r="GFO262" s="169"/>
      <c r="GFP262" s="169"/>
      <c r="GFQ262" s="169"/>
      <c r="GFR262" s="169"/>
      <c r="GFS262" s="169"/>
      <c r="GFT262" s="169"/>
      <c r="GFU262" s="169"/>
      <c r="GFV262" s="169"/>
      <c r="GFW262" s="169"/>
      <c r="GFX262" s="169"/>
      <c r="GFY262" s="169"/>
      <c r="GFZ262" s="169"/>
      <c r="GGA262" s="169"/>
      <c r="GGB262" s="169"/>
      <c r="GGC262" s="169"/>
      <c r="GGD262" s="169"/>
      <c r="GGE262" s="169"/>
      <c r="GGF262" s="169"/>
      <c r="GGG262" s="169"/>
      <c r="GGH262" s="169"/>
      <c r="GGI262" s="169"/>
      <c r="GGJ262" s="169"/>
      <c r="GGK262" s="169"/>
      <c r="GGL262" s="169"/>
      <c r="GGM262" s="169"/>
      <c r="GGN262" s="169"/>
      <c r="GGO262" s="169"/>
      <c r="GGP262" s="169"/>
      <c r="GGQ262" s="169"/>
      <c r="GGR262" s="169"/>
      <c r="GGS262" s="169"/>
      <c r="GGT262" s="169"/>
      <c r="GGU262" s="169"/>
      <c r="GGV262" s="169"/>
      <c r="GGW262" s="169"/>
      <c r="GGX262" s="169"/>
      <c r="GGY262" s="169"/>
      <c r="GGZ262" s="169"/>
      <c r="GHA262" s="169"/>
      <c r="GHB262" s="169"/>
      <c r="GHC262" s="169"/>
      <c r="GHD262" s="169"/>
      <c r="GHE262" s="169"/>
      <c r="GHF262" s="169"/>
      <c r="GHG262" s="169"/>
      <c r="GHH262" s="169"/>
      <c r="GHI262" s="169"/>
      <c r="GHJ262" s="169"/>
      <c r="GHK262" s="169"/>
      <c r="GHL262" s="169"/>
      <c r="GHM262" s="169"/>
      <c r="GHN262" s="169"/>
      <c r="GHO262" s="169"/>
      <c r="GHP262" s="169"/>
      <c r="GHQ262" s="169"/>
      <c r="GHR262" s="169"/>
      <c r="GHS262" s="169"/>
      <c r="GHT262" s="169"/>
      <c r="GHU262" s="169"/>
      <c r="GHV262" s="169"/>
      <c r="GHW262" s="169"/>
      <c r="GHX262" s="169"/>
      <c r="GHY262" s="169"/>
      <c r="GHZ262" s="169"/>
      <c r="GIA262" s="169"/>
      <c r="GIB262" s="169"/>
      <c r="GIC262" s="169"/>
      <c r="GID262" s="169"/>
      <c r="GIE262" s="169"/>
      <c r="GIF262" s="169"/>
      <c r="GIG262" s="169"/>
      <c r="GIH262" s="169"/>
      <c r="GII262" s="169"/>
      <c r="GIJ262" s="169"/>
      <c r="GIK262" s="169"/>
      <c r="GIL262" s="169"/>
      <c r="GIM262" s="169"/>
      <c r="GIN262" s="169"/>
      <c r="GIO262" s="169"/>
      <c r="GIP262" s="169"/>
      <c r="GIQ262" s="169"/>
      <c r="GIR262" s="169"/>
      <c r="GIS262" s="169"/>
      <c r="GIT262" s="169"/>
      <c r="GIU262" s="169"/>
      <c r="GIV262" s="169"/>
      <c r="GIW262" s="169"/>
      <c r="GIX262" s="169"/>
      <c r="GIY262" s="169"/>
      <c r="GIZ262" s="169"/>
      <c r="GJA262" s="169"/>
      <c r="GJB262" s="169"/>
      <c r="GJC262" s="169"/>
      <c r="GJD262" s="169"/>
      <c r="GJE262" s="169"/>
      <c r="GJF262" s="169"/>
      <c r="GJG262" s="169"/>
      <c r="GJH262" s="169"/>
      <c r="GJI262" s="169"/>
      <c r="GJJ262" s="169"/>
      <c r="GJK262" s="169"/>
      <c r="GJL262" s="169"/>
      <c r="GJM262" s="169"/>
      <c r="GJN262" s="169"/>
      <c r="GJO262" s="169"/>
      <c r="GJP262" s="169"/>
      <c r="GJQ262" s="169"/>
      <c r="GJR262" s="169"/>
      <c r="GJS262" s="169"/>
      <c r="GJT262" s="169"/>
      <c r="GJU262" s="169"/>
      <c r="GJV262" s="169"/>
      <c r="GJW262" s="169"/>
      <c r="GJX262" s="169"/>
      <c r="GJY262" s="169"/>
      <c r="GJZ262" s="169"/>
      <c r="GKA262" s="169"/>
      <c r="GKB262" s="169"/>
      <c r="GKC262" s="169"/>
      <c r="GKD262" s="169"/>
      <c r="GKE262" s="169"/>
      <c r="GKF262" s="169"/>
      <c r="GKG262" s="169"/>
      <c r="GKH262" s="169"/>
      <c r="GKI262" s="169"/>
      <c r="GKJ262" s="169"/>
      <c r="GKK262" s="169"/>
      <c r="GKL262" s="169"/>
      <c r="GKM262" s="169"/>
      <c r="GKN262" s="169"/>
      <c r="GKO262" s="169"/>
      <c r="GKP262" s="169"/>
      <c r="GKQ262" s="169"/>
      <c r="GKR262" s="169"/>
      <c r="GKS262" s="169"/>
      <c r="GKT262" s="169"/>
      <c r="GKU262" s="169"/>
      <c r="GKV262" s="169"/>
      <c r="GKW262" s="169"/>
      <c r="GKX262" s="169"/>
      <c r="GKY262" s="169"/>
      <c r="GKZ262" s="169"/>
      <c r="GLA262" s="169"/>
      <c r="GLB262" s="169"/>
      <c r="GLC262" s="169"/>
      <c r="GLD262" s="169"/>
      <c r="GLE262" s="169"/>
      <c r="GLF262" s="169"/>
      <c r="GLG262" s="169"/>
      <c r="GLH262" s="169"/>
      <c r="GLI262" s="169"/>
      <c r="GLJ262" s="169"/>
      <c r="GLK262" s="169"/>
      <c r="GLL262" s="169"/>
      <c r="GLM262" s="169"/>
      <c r="GLN262" s="169"/>
      <c r="GLO262" s="169"/>
      <c r="GLP262" s="169"/>
      <c r="GLQ262" s="169"/>
      <c r="GLR262" s="169"/>
      <c r="GLS262" s="169"/>
      <c r="GLT262" s="169"/>
      <c r="GLU262" s="169"/>
      <c r="GLV262" s="169"/>
      <c r="GLW262" s="169"/>
      <c r="GLX262" s="169"/>
      <c r="GLY262" s="169"/>
      <c r="GLZ262" s="169"/>
      <c r="GMA262" s="169"/>
      <c r="GMB262" s="169"/>
      <c r="GMC262" s="169"/>
      <c r="GMD262" s="169"/>
      <c r="GME262" s="169"/>
      <c r="GMF262" s="169"/>
      <c r="GMG262" s="169"/>
      <c r="GMH262" s="169"/>
      <c r="GMI262" s="169"/>
      <c r="GMJ262" s="169"/>
      <c r="GMK262" s="169"/>
      <c r="GML262" s="169"/>
      <c r="GMM262" s="169"/>
      <c r="GMN262" s="169"/>
      <c r="GMO262" s="169"/>
      <c r="GMP262" s="169"/>
      <c r="GMQ262" s="169"/>
      <c r="GMR262" s="169"/>
      <c r="GMS262" s="169"/>
      <c r="GMT262" s="169"/>
      <c r="GMU262" s="169"/>
      <c r="GMV262" s="169"/>
      <c r="GMW262" s="169"/>
      <c r="GMX262" s="169"/>
      <c r="GMY262" s="169"/>
      <c r="GMZ262" s="169"/>
      <c r="GNA262" s="169"/>
      <c r="GNB262" s="169"/>
      <c r="GNC262" s="169"/>
      <c r="GND262" s="169"/>
      <c r="GNE262" s="169"/>
      <c r="GNF262" s="169"/>
      <c r="GNG262" s="169"/>
      <c r="GNH262" s="169"/>
      <c r="GNI262" s="169"/>
      <c r="GNJ262" s="169"/>
      <c r="GNK262" s="169"/>
      <c r="GNL262" s="169"/>
      <c r="GNM262" s="169"/>
      <c r="GNN262" s="169"/>
      <c r="GNO262" s="169"/>
      <c r="GNP262" s="169"/>
      <c r="GNQ262" s="169"/>
      <c r="GNR262" s="169"/>
      <c r="GNS262" s="169"/>
      <c r="GNT262" s="169"/>
      <c r="GNU262" s="169"/>
      <c r="GNV262" s="169"/>
      <c r="GNW262" s="169"/>
      <c r="GNX262" s="169"/>
      <c r="GNY262" s="169"/>
      <c r="GNZ262" s="169"/>
      <c r="GOA262" s="169"/>
      <c r="GOB262" s="169"/>
      <c r="GOC262" s="169"/>
      <c r="GOD262" s="169"/>
      <c r="GOE262" s="169"/>
      <c r="GOF262" s="169"/>
      <c r="GOG262" s="169"/>
      <c r="GOH262" s="169"/>
      <c r="GOI262" s="169"/>
      <c r="GOJ262" s="169"/>
      <c r="GOK262" s="169"/>
      <c r="GOL262" s="169"/>
      <c r="GOM262" s="169"/>
      <c r="GON262" s="169"/>
      <c r="GOO262" s="169"/>
      <c r="GOP262" s="169"/>
      <c r="GOQ262" s="169"/>
      <c r="GOR262" s="169"/>
      <c r="GOS262" s="169"/>
      <c r="GOT262" s="169"/>
      <c r="GOU262" s="169"/>
      <c r="GOV262" s="169"/>
      <c r="GOW262" s="169"/>
      <c r="GOX262" s="169"/>
      <c r="GOY262" s="169"/>
      <c r="GOZ262" s="169"/>
      <c r="GPA262" s="169"/>
      <c r="GPB262" s="169"/>
      <c r="GPC262" s="169"/>
      <c r="GPD262" s="169"/>
      <c r="GPE262" s="169"/>
      <c r="GPF262" s="169"/>
      <c r="GPG262" s="169"/>
      <c r="GPH262" s="169"/>
      <c r="GPI262" s="169"/>
      <c r="GPJ262" s="169"/>
      <c r="GPK262" s="169"/>
      <c r="GPL262" s="169"/>
      <c r="GPM262" s="169"/>
      <c r="GPN262" s="169"/>
      <c r="GPO262" s="169"/>
      <c r="GPP262" s="169"/>
      <c r="GPQ262" s="169"/>
      <c r="GPR262" s="169"/>
      <c r="GPS262" s="169"/>
      <c r="GPT262" s="169"/>
      <c r="GPU262" s="169"/>
      <c r="GPV262" s="169"/>
      <c r="GPW262" s="169"/>
      <c r="GPX262" s="169"/>
      <c r="GPY262" s="169"/>
      <c r="GPZ262" s="169"/>
      <c r="GQA262" s="169"/>
      <c r="GQB262" s="169"/>
      <c r="GQC262" s="169"/>
      <c r="GQD262" s="169"/>
      <c r="GQE262" s="169"/>
      <c r="GQF262" s="169"/>
      <c r="GQG262" s="169"/>
      <c r="GQH262" s="169"/>
      <c r="GQI262" s="169"/>
      <c r="GQJ262" s="169"/>
      <c r="GQK262" s="169"/>
      <c r="GQL262" s="169"/>
      <c r="GQM262" s="169"/>
      <c r="GQN262" s="169"/>
      <c r="GQO262" s="169"/>
      <c r="GQP262" s="169"/>
      <c r="GQQ262" s="169"/>
      <c r="GQR262" s="169"/>
      <c r="GQS262" s="169"/>
      <c r="GQT262" s="169"/>
      <c r="GQU262" s="169"/>
      <c r="GQV262" s="169"/>
      <c r="GQW262" s="169"/>
      <c r="GQX262" s="169"/>
      <c r="GQY262" s="169"/>
      <c r="GQZ262" s="169"/>
      <c r="GRA262" s="169"/>
      <c r="GRB262" s="169"/>
      <c r="GRC262" s="169"/>
      <c r="GRD262" s="169"/>
      <c r="GRE262" s="169"/>
      <c r="GRF262" s="169"/>
      <c r="GRG262" s="169"/>
      <c r="GRH262" s="169"/>
      <c r="GRI262" s="169"/>
      <c r="GRJ262" s="169"/>
      <c r="GRK262" s="169"/>
      <c r="GRL262" s="169"/>
      <c r="GRM262" s="169"/>
      <c r="GRN262" s="169"/>
      <c r="GRO262" s="169"/>
      <c r="GRP262" s="169"/>
      <c r="GRQ262" s="169"/>
      <c r="GRR262" s="169"/>
      <c r="GRS262" s="169"/>
      <c r="GRT262" s="169"/>
      <c r="GRU262" s="169"/>
      <c r="GRV262" s="169"/>
      <c r="GRW262" s="169"/>
      <c r="GRX262" s="169"/>
      <c r="GRY262" s="169"/>
      <c r="GRZ262" s="169"/>
      <c r="GSA262" s="169"/>
      <c r="GSB262" s="169"/>
      <c r="GSC262" s="169"/>
      <c r="GSD262" s="169"/>
      <c r="GSE262" s="169"/>
      <c r="GSF262" s="169"/>
      <c r="GSG262" s="169"/>
      <c r="GSH262" s="169"/>
      <c r="GSI262" s="169"/>
      <c r="GSJ262" s="169"/>
      <c r="GSK262" s="169"/>
      <c r="GSL262" s="169"/>
      <c r="GSM262" s="169"/>
      <c r="GSN262" s="169"/>
      <c r="GSO262" s="169"/>
      <c r="GSP262" s="169"/>
      <c r="GSQ262" s="169"/>
      <c r="GSR262" s="169"/>
      <c r="GSS262" s="169"/>
      <c r="GST262" s="169"/>
      <c r="GSU262" s="169"/>
      <c r="GSV262" s="169"/>
      <c r="GSW262" s="169"/>
      <c r="GSX262" s="169"/>
      <c r="GSY262" s="169"/>
      <c r="GSZ262" s="169"/>
      <c r="GTA262" s="169"/>
      <c r="GTB262" s="169"/>
      <c r="GTC262" s="169"/>
      <c r="GTD262" s="169"/>
      <c r="GTE262" s="169"/>
      <c r="GTF262" s="169"/>
      <c r="GTG262" s="169"/>
      <c r="GTH262" s="169"/>
      <c r="GTI262" s="169"/>
      <c r="GTJ262" s="169"/>
      <c r="GTK262" s="169"/>
      <c r="GTL262" s="169"/>
      <c r="GTM262" s="169"/>
      <c r="GTN262" s="169"/>
      <c r="GTO262" s="169"/>
      <c r="GTP262" s="169"/>
      <c r="GTQ262" s="169"/>
      <c r="GTR262" s="169"/>
      <c r="GTS262" s="169"/>
      <c r="GTT262" s="169"/>
      <c r="GTU262" s="169"/>
      <c r="GTV262" s="169"/>
      <c r="GTW262" s="169"/>
      <c r="GTX262" s="169"/>
      <c r="GTY262" s="169"/>
      <c r="GTZ262" s="169"/>
      <c r="GUA262" s="169"/>
      <c r="GUB262" s="169"/>
      <c r="GUC262" s="169"/>
      <c r="GUD262" s="169"/>
      <c r="GUE262" s="169"/>
      <c r="GUF262" s="169"/>
      <c r="GUG262" s="169"/>
      <c r="GUH262" s="169"/>
      <c r="GUI262" s="169"/>
      <c r="GUJ262" s="169"/>
      <c r="GUK262" s="169"/>
      <c r="GUL262" s="169"/>
      <c r="GUM262" s="169"/>
      <c r="GUN262" s="169"/>
      <c r="GUO262" s="169"/>
      <c r="GUP262" s="169"/>
      <c r="GUQ262" s="169"/>
      <c r="GUR262" s="169"/>
      <c r="GUS262" s="169"/>
      <c r="GUT262" s="169"/>
      <c r="GUU262" s="169"/>
      <c r="GUV262" s="169"/>
      <c r="GUW262" s="169"/>
      <c r="GUX262" s="169"/>
      <c r="GUY262" s="169"/>
      <c r="GUZ262" s="169"/>
      <c r="GVA262" s="169"/>
      <c r="GVB262" s="169"/>
      <c r="GVC262" s="169"/>
      <c r="GVD262" s="169"/>
      <c r="GVE262" s="169"/>
      <c r="GVF262" s="169"/>
      <c r="GVG262" s="169"/>
      <c r="GVH262" s="169"/>
      <c r="GVI262" s="169"/>
      <c r="GVJ262" s="169"/>
      <c r="GVK262" s="169"/>
      <c r="GVL262" s="169"/>
      <c r="GVM262" s="169"/>
      <c r="GVN262" s="169"/>
      <c r="GVO262" s="169"/>
      <c r="GVP262" s="169"/>
      <c r="GVQ262" s="169"/>
      <c r="GVR262" s="169"/>
      <c r="GVS262" s="169"/>
      <c r="GVT262" s="169"/>
      <c r="GVU262" s="169"/>
      <c r="GVV262" s="169"/>
      <c r="GVW262" s="169"/>
      <c r="GVX262" s="169"/>
      <c r="GVY262" s="169"/>
      <c r="GVZ262" s="169"/>
      <c r="GWA262" s="169"/>
      <c r="GWB262" s="169"/>
      <c r="GWC262" s="169"/>
      <c r="GWD262" s="169"/>
      <c r="GWE262" s="169"/>
      <c r="GWF262" s="169"/>
      <c r="GWG262" s="169"/>
      <c r="GWH262" s="169"/>
      <c r="GWI262" s="169"/>
      <c r="GWJ262" s="169"/>
      <c r="GWK262" s="169"/>
      <c r="GWL262" s="169"/>
      <c r="GWM262" s="169"/>
      <c r="GWN262" s="169"/>
      <c r="GWO262" s="169"/>
      <c r="GWP262" s="169"/>
      <c r="GWQ262" s="169"/>
      <c r="GWR262" s="169"/>
      <c r="GWS262" s="169"/>
      <c r="GWT262" s="169"/>
      <c r="GWU262" s="169"/>
      <c r="GWV262" s="169"/>
      <c r="GWW262" s="169"/>
      <c r="GWX262" s="169"/>
      <c r="GWY262" s="169"/>
      <c r="GWZ262" s="169"/>
      <c r="GXA262" s="169"/>
      <c r="GXB262" s="169"/>
      <c r="GXC262" s="169"/>
      <c r="GXD262" s="169"/>
      <c r="GXE262" s="169"/>
      <c r="GXF262" s="169"/>
      <c r="GXG262" s="169"/>
      <c r="GXH262" s="169"/>
      <c r="GXI262" s="169"/>
      <c r="GXJ262" s="169"/>
      <c r="GXK262" s="169"/>
      <c r="GXL262" s="169"/>
      <c r="GXM262" s="169"/>
      <c r="GXN262" s="169"/>
      <c r="GXO262" s="169"/>
      <c r="GXP262" s="169"/>
      <c r="GXQ262" s="169"/>
      <c r="GXR262" s="169"/>
      <c r="GXS262" s="169"/>
      <c r="GXT262" s="169"/>
      <c r="GXU262" s="169"/>
      <c r="GXV262" s="169"/>
      <c r="GXW262" s="169"/>
      <c r="GXX262" s="169"/>
      <c r="GXY262" s="169"/>
      <c r="GXZ262" s="169"/>
      <c r="GYA262" s="169"/>
      <c r="GYB262" s="169"/>
      <c r="GYC262" s="169"/>
      <c r="GYD262" s="169"/>
      <c r="GYE262" s="169"/>
      <c r="GYF262" s="169"/>
      <c r="GYG262" s="169"/>
      <c r="GYH262" s="169"/>
      <c r="GYI262" s="169"/>
      <c r="GYJ262" s="169"/>
      <c r="GYK262" s="169"/>
      <c r="GYL262" s="169"/>
      <c r="GYM262" s="169"/>
      <c r="GYN262" s="169"/>
      <c r="GYO262" s="169"/>
      <c r="GYP262" s="169"/>
      <c r="GYQ262" s="169"/>
      <c r="GYR262" s="169"/>
      <c r="GYS262" s="169"/>
      <c r="GYT262" s="169"/>
      <c r="GYU262" s="169"/>
      <c r="GYV262" s="169"/>
      <c r="GYW262" s="169"/>
      <c r="GYX262" s="169"/>
      <c r="GYY262" s="169"/>
      <c r="GYZ262" s="169"/>
      <c r="GZA262" s="169"/>
      <c r="GZB262" s="169"/>
      <c r="GZC262" s="169"/>
      <c r="GZD262" s="169"/>
      <c r="GZE262" s="169"/>
      <c r="GZF262" s="169"/>
      <c r="GZG262" s="169"/>
      <c r="GZH262" s="169"/>
      <c r="GZI262" s="169"/>
      <c r="GZJ262" s="169"/>
      <c r="GZK262" s="169"/>
      <c r="GZL262" s="169"/>
      <c r="GZM262" s="169"/>
      <c r="GZN262" s="169"/>
      <c r="GZO262" s="169"/>
      <c r="GZP262" s="169"/>
      <c r="GZQ262" s="169"/>
      <c r="GZR262" s="169"/>
      <c r="GZS262" s="169"/>
      <c r="GZT262" s="169"/>
      <c r="GZU262" s="169"/>
      <c r="GZV262" s="169"/>
      <c r="GZW262" s="169"/>
      <c r="GZX262" s="169"/>
      <c r="GZY262" s="169"/>
      <c r="GZZ262" s="169"/>
      <c r="HAA262" s="169"/>
      <c r="HAB262" s="169"/>
      <c r="HAC262" s="169"/>
      <c r="HAD262" s="169"/>
      <c r="HAE262" s="169"/>
      <c r="HAF262" s="169"/>
      <c r="HAG262" s="169"/>
      <c r="HAH262" s="169"/>
      <c r="HAI262" s="169"/>
      <c r="HAJ262" s="169"/>
      <c r="HAK262" s="169"/>
      <c r="HAL262" s="169"/>
      <c r="HAM262" s="169"/>
      <c r="HAN262" s="169"/>
      <c r="HAO262" s="169"/>
      <c r="HAP262" s="169"/>
      <c r="HAQ262" s="169"/>
      <c r="HAR262" s="169"/>
      <c r="HAS262" s="169"/>
      <c r="HAT262" s="169"/>
      <c r="HAU262" s="169"/>
      <c r="HAV262" s="169"/>
      <c r="HAW262" s="169"/>
      <c r="HAX262" s="169"/>
      <c r="HAY262" s="169"/>
      <c r="HAZ262" s="169"/>
      <c r="HBA262" s="169"/>
      <c r="HBB262" s="169"/>
      <c r="HBC262" s="169"/>
      <c r="HBD262" s="169"/>
      <c r="HBE262" s="169"/>
      <c r="HBF262" s="169"/>
      <c r="HBG262" s="169"/>
      <c r="HBH262" s="169"/>
      <c r="HBI262" s="169"/>
      <c r="HBJ262" s="169"/>
      <c r="HBK262" s="169"/>
      <c r="HBL262" s="169"/>
      <c r="HBM262" s="169"/>
      <c r="HBN262" s="169"/>
      <c r="HBO262" s="169"/>
      <c r="HBP262" s="169"/>
      <c r="HBQ262" s="169"/>
      <c r="HBR262" s="169"/>
      <c r="HBS262" s="169"/>
      <c r="HBT262" s="169"/>
      <c r="HBU262" s="169"/>
      <c r="HBV262" s="169"/>
      <c r="HBW262" s="169"/>
      <c r="HBX262" s="169"/>
      <c r="HBY262" s="169"/>
      <c r="HBZ262" s="169"/>
      <c r="HCA262" s="169"/>
      <c r="HCB262" s="169"/>
      <c r="HCC262" s="169"/>
      <c r="HCD262" s="169"/>
      <c r="HCE262" s="169"/>
      <c r="HCF262" s="169"/>
      <c r="HCG262" s="169"/>
      <c r="HCH262" s="169"/>
      <c r="HCI262" s="169"/>
      <c r="HCJ262" s="169"/>
      <c r="HCK262" s="169"/>
      <c r="HCL262" s="169"/>
      <c r="HCM262" s="169"/>
      <c r="HCN262" s="169"/>
      <c r="HCO262" s="169"/>
      <c r="HCP262" s="169"/>
      <c r="HCQ262" s="169"/>
      <c r="HCR262" s="169"/>
      <c r="HCS262" s="169"/>
      <c r="HCT262" s="169"/>
      <c r="HCU262" s="169"/>
      <c r="HCV262" s="169"/>
      <c r="HCW262" s="169"/>
      <c r="HCX262" s="169"/>
      <c r="HCY262" s="169"/>
      <c r="HCZ262" s="169"/>
      <c r="HDA262" s="169"/>
      <c r="HDB262" s="169"/>
      <c r="HDC262" s="169"/>
      <c r="HDD262" s="169"/>
      <c r="HDE262" s="169"/>
      <c r="HDF262" s="169"/>
      <c r="HDG262" s="169"/>
      <c r="HDH262" s="169"/>
      <c r="HDI262" s="169"/>
      <c r="HDJ262" s="169"/>
      <c r="HDK262" s="169"/>
      <c r="HDL262" s="169"/>
      <c r="HDM262" s="169"/>
      <c r="HDN262" s="169"/>
      <c r="HDO262" s="169"/>
      <c r="HDP262" s="169"/>
      <c r="HDQ262" s="169"/>
      <c r="HDR262" s="169"/>
      <c r="HDS262" s="169"/>
      <c r="HDT262" s="169"/>
      <c r="HDU262" s="169"/>
      <c r="HDV262" s="169"/>
      <c r="HDW262" s="169"/>
      <c r="HDX262" s="169"/>
      <c r="HDY262" s="169"/>
      <c r="HDZ262" s="169"/>
      <c r="HEA262" s="169"/>
      <c r="HEB262" s="169"/>
      <c r="HEC262" s="169"/>
      <c r="HED262" s="169"/>
      <c r="HEE262" s="169"/>
      <c r="HEF262" s="169"/>
      <c r="HEG262" s="169"/>
      <c r="HEH262" s="169"/>
      <c r="HEI262" s="169"/>
      <c r="HEJ262" s="169"/>
      <c r="HEK262" s="169"/>
      <c r="HEL262" s="169"/>
      <c r="HEM262" s="169"/>
      <c r="HEN262" s="169"/>
      <c r="HEO262" s="169"/>
      <c r="HEP262" s="169"/>
      <c r="HEQ262" s="169"/>
      <c r="HER262" s="169"/>
      <c r="HES262" s="169"/>
      <c r="HET262" s="169"/>
      <c r="HEU262" s="169"/>
      <c r="HEV262" s="169"/>
      <c r="HEW262" s="169"/>
      <c r="HEX262" s="169"/>
      <c r="HEY262" s="169"/>
      <c r="HEZ262" s="169"/>
      <c r="HFA262" s="169"/>
      <c r="HFB262" s="169"/>
      <c r="HFC262" s="169"/>
      <c r="HFD262" s="169"/>
      <c r="HFE262" s="169"/>
      <c r="HFF262" s="169"/>
      <c r="HFG262" s="169"/>
      <c r="HFH262" s="169"/>
      <c r="HFI262" s="169"/>
      <c r="HFJ262" s="169"/>
      <c r="HFK262" s="169"/>
      <c r="HFL262" s="169"/>
      <c r="HFM262" s="169"/>
      <c r="HFN262" s="169"/>
      <c r="HFO262" s="169"/>
      <c r="HFP262" s="169"/>
      <c r="HFQ262" s="169"/>
      <c r="HFR262" s="169"/>
      <c r="HFS262" s="169"/>
      <c r="HFT262" s="169"/>
      <c r="HFU262" s="169"/>
      <c r="HFV262" s="169"/>
      <c r="HFW262" s="169"/>
      <c r="HFX262" s="169"/>
      <c r="HFY262" s="169"/>
      <c r="HFZ262" s="169"/>
      <c r="HGA262" s="169"/>
      <c r="HGB262" s="169"/>
      <c r="HGC262" s="169"/>
      <c r="HGD262" s="169"/>
      <c r="HGE262" s="169"/>
      <c r="HGF262" s="169"/>
      <c r="HGG262" s="169"/>
      <c r="HGH262" s="169"/>
      <c r="HGI262" s="169"/>
      <c r="HGJ262" s="169"/>
      <c r="HGK262" s="169"/>
      <c r="HGL262" s="169"/>
      <c r="HGM262" s="169"/>
      <c r="HGN262" s="169"/>
      <c r="HGO262" s="169"/>
      <c r="HGP262" s="169"/>
      <c r="HGQ262" s="169"/>
      <c r="HGR262" s="169"/>
      <c r="HGS262" s="169"/>
      <c r="HGT262" s="169"/>
      <c r="HGU262" s="169"/>
      <c r="HGV262" s="169"/>
      <c r="HGW262" s="169"/>
      <c r="HGX262" s="169"/>
      <c r="HGY262" s="169"/>
      <c r="HGZ262" s="169"/>
      <c r="HHA262" s="169"/>
      <c r="HHB262" s="169"/>
      <c r="HHC262" s="169"/>
      <c r="HHD262" s="169"/>
      <c r="HHE262" s="169"/>
      <c r="HHF262" s="169"/>
      <c r="HHG262" s="169"/>
      <c r="HHH262" s="169"/>
      <c r="HHI262" s="169"/>
      <c r="HHJ262" s="169"/>
      <c r="HHK262" s="169"/>
      <c r="HHL262" s="169"/>
      <c r="HHM262" s="169"/>
      <c r="HHN262" s="169"/>
      <c r="HHO262" s="169"/>
      <c r="HHP262" s="169"/>
      <c r="HHQ262" s="169"/>
      <c r="HHR262" s="169"/>
      <c r="HHS262" s="169"/>
      <c r="HHT262" s="169"/>
      <c r="HHU262" s="169"/>
      <c r="HHV262" s="169"/>
      <c r="HHW262" s="169"/>
      <c r="HHX262" s="169"/>
      <c r="HHY262" s="169"/>
      <c r="HHZ262" s="169"/>
      <c r="HIA262" s="169"/>
      <c r="HIB262" s="169"/>
      <c r="HIC262" s="169"/>
      <c r="HID262" s="169"/>
      <c r="HIE262" s="169"/>
      <c r="HIF262" s="169"/>
      <c r="HIG262" s="169"/>
      <c r="HIH262" s="169"/>
      <c r="HII262" s="169"/>
      <c r="HIJ262" s="169"/>
      <c r="HIK262" s="169"/>
      <c r="HIL262" s="169"/>
      <c r="HIM262" s="169"/>
      <c r="HIN262" s="169"/>
      <c r="HIO262" s="169"/>
      <c r="HIP262" s="169"/>
      <c r="HIQ262" s="169"/>
      <c r="HIR262" s="169"/>
      <c r="HIS262" s="169"/>
      <c r="HIT262" s="169"/>
      <c r="HIU262" s="169"/>
      <c r="HIV262" s="169"/>
      <c r="HIW262" s="169"/>
      <c r="HIX262" s="169"/>
      <c r="HIY262" s="169"/>
      <c r="HIZ262" s="169"/>
      <c r="HJA262" s="169"/>
      <c r="HJB262" s="169"/>
      <c r="HJC262" s="169"/>
      <c r="HJD262" s="169"/>
      <c r="HJE262" s="169"/>
      <c r="HJF262" s="169"/>
      <c r="HJG262" s="169"/>
      <c r="HJH262" s="169"/>
      <c r="HJI262" s="169"/>
      <c r="HJJ262" s="169"/>
      <c r="HJK262" s="169"/>
      <c r="HJL262" s="169"/>
      <c r="HJM262" s="169"/>
      <c r="HJN262" s="169"/>
      <c r="HJO262" s="169"/>
      <c r="HJP262" s="169"/>
      <c r="HJQ262" s="169"/>
      <c r="HJR262" s="169"/>
      <c r="HJS262" s="169"/>
      <c r="HJT262" s="169"/>
      <c r="HJU262" s="169"/>
      <c r="HJV262" s="169"/>
      <c r="HJW262" s="169"/>
      <c r="HJX262" s="169"/>
      <c r="HJY262" s="169"/>
      <c r="HJZ262" s="169"/>
      <c r="HKA262" s="169"/>
      <c r="HKB262" s="169"/>
      <c r="HKC262" s="169"/>
      <c r="HKD262" s="169"/>
      <c r="HKE262" s="169"/>
      <c r="HKF262" s="169"/>
      <c r="HKG262" s="169"/>
      <c r="HKH262" s="169"/>
      <c r="HKI262" s="169"/>
      <c r="HKJ262" s="169"/>
      <c r="HKK262" s="169"/>
      <c r="HKL262" s="169"/>
      <c r="HKM262" s="169"/>
      <c r="HKN262" s="169"/>
      <c r="HKO262" s="169"/>
      <c r="HKP262" s="169"/>
      <c r="HKQ262" s="169"/>
      <c r="HKR262" s="169"/>
      <c r="HKS262" s="169"/>
      <c r="HKT262" s="169"/>
      <c r="HKU262" s="169"/>
      <c r="HKV262" s="169"/>
      <c r="HKW262" s="169"/>
      <c r="HKX262" s="169"/>
      <c r="HKY262" s="169"/>
      <c r="HKZ262" s="169"/>
      <c r="HLA262" s="169"/>
      <c r="HLB262" s="169"/>
      <c r="HLC262" s="169"/>
      <c r="HLD262" s="169"/>
      <c r="HLE262" s="169"/>
      <c r="HLF262" s="169"/>
      <c r="HLG262" s="169"/>
      <c r="HLH262" s="169"/>
      <c r="HLI262" s="169"/>
      <c r="HLJ262" s="169"/>
      <c r="HLK262" s="169"/>
      <c r="HLL262" s="169"/>
      <c r="HLM262" s="169"/>
      <c r="HLN262" s="169"/>
      <c r="HLO262" s="169"/>
      <c r="HLP262" s="169"/>
      <c r="HLQ262" s="169"/>
      <c r="HLR262" s="169"/>
      <c r="HLS262" s="169"/>
      <c r="HLT262" s="169"/>
      <c r="HLU262" s="169"/>
      <c r="HLV262" s="169"/>
      <c r="HLW262" s="169"/>
      <c r="HLX262" s="169"/>
      <c r="HLY262" s="169"/>
      <c r="HLZ262" s="169"/>
      <c r="HMA262" s="169"/>
      <c r="HMB262" s="169"/>
      <c r="HMC262" s="169"/>
      <c r="HMD262" s="169"/>
      <c r="HME262" s="169"/>
      <c r="HMF262" s="169"/>
      <c r="HMG262" s="169"/>
      <c r="HMH262" s="169"/>
      <c r="HMI262" s="169"/>
      <c r="HMJ262" s="169"/>
      <c r="HMK262" s="169"/>
      <c r="HML262" s="169"/>
      <c r="HMM262" s="169"/>
      <c r="HMN262" s="169"/>
      <c r="HMO262" s="169"/>
      <c r="HMP262" s="169"/>
      <c r="HMQ262" s="169"/>
      <c r="HMR262" s="169"/>
      <c r="HMS262" s="169"/>
      <c r="HMT262" s="169"/>
      <c r="HMU262" s="169"/>
      <c r="HMV262" s="169"/>
      <c r="HMW262" s="169"/>
      <c r="HMX262" s="169"/>
      <c r="HMY262" s="169"/>
      <c r="HMZ262" s="169"/>
      <c r="HNA262" s="169"/>
      <c r="HNB262" s="169"/>
      <c r="HNC262" s="169"/>
      <c r="HND262" s="169"/>
      <c r="HNE262" s="169"/>
      <c r="HNF262" s="169"/>
      <c r="HNG262" s="169"/>
      <c r="HNH262" s="169"/>
      <c r="HNI262" s="169"/>
      <c r="HNJ262" s="169"/>
      <c r="HNK262" s="169"/>
      <c r="HNL262" s="169"/>
      <c r="HNM262" s="169"/>
      <c r="HNN262" s="169"/>
      <c r="HNO262" s="169"/>
      <c r="HNP262" s="169"/>
      <c r="HNQ262" s="169"/>
      <c r="HNR262" s="169"/>
      <c r="HNS262" s="169"/>
      <c r="HNT262" s="169"/>
      <c r="HNU262" s="169"/>
      <c r="HNV262" s="169"/>
      <c r="HNW262" s="169"/>
      <c r="HNX262" s="169"/>
      <c r="HNY262" s="169"/>
      <c r="HNZ262" s="169"/>
      <c r="HOA262" s="169"/>
      <c r="HOB262" s="169"/>
      <c r="HOC262" s="169"/>
      <c r="HOD262" s="169"/>
      <c r="HOE262" s="169"/>
      <c r="HOF262" s="169"/>
      <c r="HOG262" s="169"/>
      <c r="HOH262" s="169"/>
      <c r="HOI262" s="169"/>
      <c r="HOJ262" s="169"/>
      <c r="HOK262" s="169"/>
      <c r="HOL262" s="169"/>
      <c r="HOM262" s="169"/>
      <c r="HON262" s="169"/>
      <c r="HOO262" s="169"/>
      <c r="HOP262" s="169"/>
      <c r="HOQ262" s="169"/>
      <c r="HOR262" s="169"/>
      <c r="HOS262" s="169"/>
      <c r="HOT262" s="169"/>
      <c r="HOU262" s="169"/>
      <c r="HOV262" s="169"/>
      <c r="HOW262" s="169"/>
      <c r="HOX262" s="169"/>
      <c r="HOY262" s="169"/>
      <c r="HOZ262" s="169"/>
      <c r="HPA262" s="169"/>
      <c r="HPB262" s="169"/>
      <c r="HPC262" s="169"/>
      <c r="HPD262" s="169"/>
      <c r="HPE262" s="169"/>
      <c r="HPF262" s="169"/>
      <c r="HPG262" s="169"/>
      <c r="HPH262" s="169"/>
      <c r="HPI262" s="169"/>
      <c r="HPJ262" s="169"/>
      <c r="HPK262" s="169"/>
      <c r="HPL262" s="169"/>
      <c r="HPM262" s="169"/>
      <c r="HPN262" s="169"/>
      <c r="HPO262" s="169"/>
      <c r="HPP262" s="169"/>
      <c r="HPQ262" s="169"/>
      <c r="HPR262" s="169"/>
      <c r="HPS262" s="169"/>
      <c r="HPT262" s="169"/>
      <c r="HPU262" s="169"/>
      <c r="HPV262" s="169"/>
      <c r="HPW262" s="169"/>
      <c r="HPX262" s="169"/>
      <c r="HPY262" s="169"/>
      <c r="HPZ262" s="169"/>
      <c r="HQA262" s="169"/>
      <c r="HQB262" s="169"/>
      <c r="HQC262" s="169"/>
      <c r="HQD262" s="169"/>
      <c r="HQE262" s="169"/>
      <c r="HQF262" s="169"/>
      <c r="HQG262" s="169"/>
      <c r="HQH262" s="169"/>
      <c r="HQI262" s="169"/>
      <c r="HQJ262" s="169"/>
      <c r="HQK262" s="169"/>
      <c r="HQL262" s="169"/>
      <c r="HQM262" s="169"/>
      <c r="HQN262" s="169"/>
      <c r="HQO262" s="169"/>
      <c r="HQP262" s="169"/>
      <c r="HQQ262" s="169"/>
      <c r="HQR262" s="169"/>
      <c r="HQS262" s="169"/>
      <c r="HQT262" s="169"/>
      <c r="HQU262" s="169"/>
      <c r="HQV262" s="169"/>
      <c r="HQW262" s="169"/>
      <c r="HQX262" s="169"/>
      <c r="HQY262" s="169"/>
      <c r="HQZ262" s="169"/>
      <c r="HRA262" s="169"/>
      <c r="HRB262" s="169"/>
      <c r="HRC262" s="169"/>
      <c r="HRD262" s="169"/>
      <c r="HRE262" s="169"/>
      <c r="HRF262" s="169"/>
      <c r="HRG262" s="169"/>
      <c r="HRH262" s="169"/>
      <c r="HRI262" s="169"/>
      <c r="HRJ262" s="169"/>
      <c r="HRK262" s="169"/>
      <c r="HRL262" s="169"/>
      <c r="HRM262" s="169"/>
      <c r="HRN262" s="169"/>
      <c r="HRO262" s="169"/>
      <c r="HRP262" s="169"/>
      <c r="HRQ262" s="169"/>
      <c r="HRR262" s="169"/>
      <c r="HRS262" s="169"/>
      <c r="HRT262" s="169"/>
      <c r="HRU262" s="169"/>
      <c r="HRV262" s="169"/>
      <c r="HRW262" s="169"/>
      <c r="HRX262" s="169"/>
      <c r="HRY262" s="169"/>
      <c r="HRZ262" s="169"/>
      <c r="HSA262" s="169"/>
      <c r="HSB262" s="169"/>
      <c r="HSC262" s="169"/>
      <c r="HSD262" s="169"/>
      <c r="HSE262" s="169"/>
      <c r="HSF262" s="169"/>
      <c r="HSG262" s="169"/>
      <c r="HSH262" s="169"/>
      <c r="HSI262" s="169"/>
      <c r="HSJ262" s="169"/>
      <c r="HSK262" s="169"/>
      <c r="HSL262" s="169"/>
      <c r="HSM262" s="169"/>
      <c r="HSN262" s="169"/>
      <c r="HSO262" s="169"/>
      <c r="HSP262" s="169"/>
      <c r="HSQ262" s="169"/>
      <c r="HSR262" s="169"/>
      <c r="HSS262" s="169"/>
      <c r="HST262" s="169"/>
      <c r="HSU262" s="169"/>
      <c r="HSV262" s="169"/>
      <c r="HSW262" s="169"/>
      <c r="HSX262" s="169"/>
      <c r="HSY262" s="169"/>
      <c r="HSZ262" s="169"/>
      <c r="HTA262" s="169"/>
      <c r="HTB262" s="169"/>
      <c r="HTC262" s="169"/>
      <c r="HTD262" s="169"/>
      <c r="HTE262" s="169"/>
      <c r="HTF262" s="169"/>
      <c r="HTG262" s="169"/>
      <c r="HTH262" s="169"/>
      <c r="HTI262" s="169"/>
      <c r="HTJ262" s="169"/>
      <c r="HTK262" s="169"/>
      <c r="HTL262" s="169"/>
      <c r="HTM262" s="169"/>
      <c r="HTN262" s="169"/>
      <c r="HTO262" s="169"/>
      <c r="HTP262" s="169"/>
      <c r="HTQ262" s="169"/>
      <c r="HTR262" s="169"/>
      <c r="HTS262" s="169"/>
      <c r="HTT262" s="169"/>
      <c r="HTU262" s="169"/>
      <c r="HTV262" s="169"/>
      <c r="HTW262" s="169"/>
      <c r="HTX262" s="169"/>
      <c r="HTY262" s="169"/>
      <c r="HTZ262" s="169"/>
      <c r="HUA262" s="169"/>
      <c r="HUB262" s="169"/>
      <c r="HUC262" s="169"/>
      <c r="HUD262" s="169"/>
      <c r="HUE262" s="169"/>
      <c r="HUF262" s="169"/>
      <c r="HUG262" s="169"/>
      <c r="HUH262" s="169"/>
      <c r="HUI262" s="169"/>
      <c r="HUJ262" s="169"/>
      <c r="HUK262" s="169"/>
      <c r="HUL262" s="169"/>
      <c r="HUM262" s="169"/>
      <c r="HUN262" s="169"/>
      <c r="HUO262" s="169"/>
      <c r="HUP262" s="169"/>
      <c r="HUQ262" s="169"/>
      <c r="HUR262" s="169"/>
      <c r="HUS262" s="169"/>
      <c r="HUT262" s="169"/>
      <c r="HUU262" s="169"/>
      <c r="HUV262" s="169"/>
      <c r="HUW262" s="169"/>
      <c r="HUX262" s="169"/>
      <c r="HUY262" s="169"/>
      <c r="HUZ262" s="169"/>
      <c r="HVA262" s="169"/>
      <c r="HVB262" s="169"/>
      <c r="HVC262" s="169"/>
      <c r="HVD262" s="169"/>
      <c r="HVE262" s="169"/>
      <c r="HVF262" s="169"/>
      <c r="HVG262" s="169"/>
      <c r="HVH262" s="169"/>
      <c r="HVI262" s="169"/>
      <c r="HVJ262" s="169"/>
      <c r="HVK262" s="169"/>
      <c r="HVL262" s="169"/>
      <c r="HVM262" s="169"/>
      <c r="HVN262" s="169"/>
      <c r="HVO262" s="169"/>
      <c r="HVP262" s="169"/>
      <c r="HVQ262" s="169"/>
      <c r="HVR262" s="169"/>
      <c r="HVS262" s="169"/>
      <c r="HVT262" s="169"/>
      <c r="HVU262" s="169"/>
      <c r="HVV262" s="169"/>
      <c r="HVW262" s="169"/>
      <c r="HVX262" s="169"/>
      <c r="HVY262" s="169"/>
      <c r="HVZ262" s="169"/>
      <c r="HWA262" s="169"/>
      <c r="HWB262" s="169"/>
      <c r="HWC262" s="169"/>
      <c r="HWD262" s="169"/>
      <c r="HWE262" s="169"/>
      <c r="HWF262" s="169"/>
      <c r="HWG262" s="169"/>
      <c r="HWH262" s="169"/>
      <c r="HWI262" s="169"/>
      <c r="HWJ262" s="169"/>
      <c r="HWK262" s="169"/>
      <c r="HWL262" s="169"/>
      <c r="HWM262" s="169"/>
      <c r="HWN262" s="169"/>
      <c r="HWO262" s="169"/>
      <c r="HWP262" s="169"/>
      <c r="HWQ262" s="169"/>
      <c r="HWR262" s="169"/>
      <c r="HWS262" s="169"/>
      <c r="HWT262" s="169"/>
      <c r="HWU262" s="169"/>
      <c r="HWV262" s="169"/>
      <c r="HWW262" s="169"/>
      <c r="HWX262" s="169"/>
      <c r="HWY262" s="169"/>
      <c r="HWZ262" s="169"/>
      <c r="HXA262" s="169"/>
      <c r="HXB262" s="169"/>
      <c r="HXC262" s="169"/>
      <c r="HXD262" s="169"/>
      <c r="HXE262" s="169"/>
      <c r="HXF262" s="169"/>
      <c r="HXG262" s="169"/>
      <c r="HXH262" s="169"/>
      <c r="HXI262" s="169"/>
      <c r="HXJ262" s="169"/>
      <c r="HXK262" s="169"/>
      <c r="HXL262" s="169"/>
      <c r="HXM262" s="169"/>
      <c r="HXN262" s="169"/>
      <c r="HXO262" s="169"/>
      <c r="HXP262" s="169"/>
      <c r="HXQ262" s="169"/>
      <c r="HXR262" s="169"/>
      <c r="HXS262" s="169"/>
      <c r="HXT262" s="169"/>
      <c r="HXU262" s="169"/>
      <c r="HXV262" s="169"/>
      <c r="HXW262" s="169"/>
      <c r="HXX262" s="169"/>
      <c r="HXY262" s="169"/>
      <c r="HXZ262" s="169"/>
      <c r="HYA262" s="169"/>
      <c r="HYB262" s="169"/>
      <c r="HYC262" s="169"/>
      <c r="HYD262" s="169"/>
      <c r="HYE262" s="169"/>
      <c r="HYF262" s="169"/>
      <c r="HYG262" s="169"/>
      <c r="HYH262" s="169"/>
      <c r="HYI262" s="169"/>
      <c r="HYJ262" s="169"/>
      <c r="HYK262" s="169"/>
      <c r="HYL262" s="169"/>
      <c r="HYM262" s="169"/>
      <c r="HYN262" s="169"/>
      <c r="HYO262" s="169"/>
      <c r="HYP262" s="169"/>
      <c r="HYQ262" s="169"/>
      <c r="HYR262" s="169"/>
      <c r="HYS262" s="169"/>
      <c r="HYT262" s="169"/>
      <c r="HYU262" s="169"/>
      <c r="HYV262" s="169"/>
      <c r="HYW262" s="169"/>
      <c r="HYX262" s="169"/>
      <c r="HYY262" s="169"/>
      <c r="HYZ262" s="169"/>
      <c r="HZA262" s="169"/>
      <c r="HZB262" s="169"/>
      <c r="HZC262" s="169"/>
      <c r="HZD262" s="169"/>
      <c r="HZE262" s="169"/>
      <c r="HZF262" s="169"/>
      <c r="HZG262" s="169"/>
      <c r="HZH262" s="169"/>
      <c r="HZI262" s="169"/>
      <c r="HZJ262" s="169"/>
      <c r="HZK262" s="169"/>
      <c r="HZL262" s="169"/>
      <c r="HZM262" s="169"/>
      <c r="HZN262" s="169"/>
      <c r="HZO262" s="169"/>
      <c r="HZP262" s="169"/>
      <c r="HZQ262" s="169"/>
      <c r="HZR262" s="169"/>
      <c r="HZS262" s="169"/>
      <c r="HZT262" s="169"/>
      <c r="HZU262" s="169"/>
      <c r="HZV262" s="169"/>
      <c r="HZW262" s="169"/>
      <c r="HZX262" s="169"/>
      <c r="HZY262" s="169"/>
      <c r="HZZ262" s="169"/>
      <c r="IAA262" s="169"/>
      <c r="IAB262" s="169"/>
      <c r="IAC262" s="169"/>
      <c r="IAD262" s="169"/>
      <c r="IAE262" s="169"/>
      <c r="IAF262" s="169"/>
      <c r="IAG262" s="169"/>
      <c r="IAH262" s="169"/>
      <c r="IAI262" s="169"/>
      <c r="IAJ262" s="169"/>
      <c r="IAK262" s="169"/>
      <c r="IAL262" s="169"/>
      <c r="IAM262" s="169"/>
      <c r="IAN262" s="169"/>
      <c r="IAO262" s="169"/>
      <c r="IAP262" s="169"/>
      <c r="IAQ262" s="169"/>
      <c r="IAR262" s="169"/>
      <c r="IAS262" s="169"/>
      <c r="IAT262" s="169"/>
      <c r="IAU262" s="169"/>
      <c r="IAV262" s="169"/>
      <c r="IAW262" s="169"/>
      <c r="IAX262" s="169"/>
      <c r="IAY262" s="169"/>
      <c r="IAZ262" s="169"/>
      <c r="IBA262" s="169"/>
      <c r="IBB262" s="169"/>
      <c r="IBC262" s="169"/>
      <c r="IBD262" s="169"/>
      <c r="IBE262" s="169"/>
      <c r="IBF262" s="169"/>
      <c r="IBG262" s="169"/>
      <c r="IBH262" s="169"/>
      <c r="IBI262" s="169"/>
      <c r="IBJ262" s="169"/>
      <c r="IBK262" s="169"/>
      <c r="IBL262" s="169"/>
      <c r="IBM262" s="169"/>
      <c r="IBN262" s="169"/>
      <c r="IBO262" s="169"/>
      <c r="IBP262" s="169"/>
      <c r="IBQ262" s="169"/>
      <c r="IBR262" s="169"/>
      <c r="IBS262" s="169"/>
      <c r="IBT262" s="169"/>
      <c r="IBU262" s="169"/>
      <c r="IBV262" s="169"/>
      <c r="IBW262" s="169"/>
      <c r="IBX262" s="169"/>
      <c r="IBY262" s="169"/>
      <c r="IBZ262" s="169"/>
      <c r="ICA262" s="169"/>
      <c r="ICB262" s="169"/>
      <c r="ICC262" s="169"/>
      <c r="ICD262" s="169"/>
      <c r="ICE262" s="169"/>
      <c r="ICF262" s="169"/>
      <c r="ICG262" s="169"/>
      <c r="ICH262" s="169"/>
      <c r="ICI262" s="169"/>
      <c r="ICJ262" s="169"/>
      <c r="ICK262" s="169"/>
      <c r="ICL262" s="169"/>
      <c r="ICM262" s="169"/>
      <c r="ICN262" s="169"/>
      <c r="ICO262" s="169"/>
      <c r="ICP262" s="169"/>
      <c r="ICQ262" s="169"/>
      <c r="ICR262" s="169"/>
      <c r="ICS262" s="169"/>
      <c r="ICT262" s="169"/>
      <c r="ICU262" s="169"/>
      <c r="ICV262" s="169"/>
      <c r="ICW262" s="169"/>
      <c r="ICX262" s="169"/>
      <c r="ICY262" s="169"/>
      <c r="ICZ262" s="169"/>
      <c r="IDA262" s="169"/>
      <c r="IDB262" s="169"/>
      <c r="IDC262" s="169"/>
      <c r="IDD262" s="169"/>
      <c r="IDE262" s="169"/>
      <c r="IDF262" s="169"/>
      <c r="IDG262" s="169"/>
      <c r="IDH262" s="169"/>
      <c r="IDI262" s="169"/>
      <c r="IDJ262" s="169"/>
      <c r="IDK262" s="169"/>
      <c r="IDL262" s="169"/>
      <c r="IDM262" s="169"/>
      <c r="IDN262" s="169"/>
      <c r="IDO262" s="169"/>
      <c r="IDP262" s="169"/>
      <c r="IDQ262" s="169"/>
      <c r="IDR262" s="169"/>
      <c r="IDS262" s="169"/>
      <c r="IDT262" s="169"/>
      <c r="IDU262" s="169"/>
      <c r="IDV262" s="169"/>
      <c r="IDW262" s="169"/>
      <c r="IDX262" s="169"/>
      <c r="IDY262" s="169"/>
      <c r="IDZ262" s="169"/>
      <c r="IEA262" s="169"/>
      <c r="IEB262" s="169"/>
      <c r="IEC262" s="169"/>
      <c r="IED262" s="169"/>
      <c r="IEE262" s="169"/>
      <c r="IEF262" s="169"/>
      <c r="IEG262" s="169"/>
      <c r="IEH262" s="169"/>
      <c r="IEI262" s="169"/>
      <c r="IEJ262" s="169"/>
      <c r="IEK262" s="169"/>
      <c r="IEL262" s="169"/>
      <c r="IEM262" s="169"/>
      <c r="IEN262" s="169"/>
      <c r="IEO262" s="169"/>
      <c r="IEP262" s="169"/>
      <c r="IEQ262" s="169"/>
      <c r="IER262" s="169"/>
      <c r="IES262" s="169"/>
      <c r="IET262" s="169"/>
      <c r="IEU262" s="169"/>
      <c r="IEV262" s="169"/>
      <c r="IEW262" s="169"/>
      <c r="IEX262" s="169"/>
      <c r="IEY262" s="169"/>
      <c r="IEZ262" s="169"/>
      <c r="IFA262" s="169"/>
      <c r="IFB262" s="169"/>
      <c r="IFC262" s="169"/>
      <c r="IFD262" s="169"/>
      <c r="IFE262" s="169"/>
      <c r="IFF262" s="169"/>
      <c r="IFG262" s="169"/>
      <c r="IFH262" s="169"/>
      <c r="IFI262" s="169"/>
      <c r="IFJ262" s="169"/>
      <c r="IFK262" s="169"/>
      <c r="IFL262" s="169"/>
      <c r="IFM262" s="169"/>
      <c r="IFN262" s="169"/>
      <c r="IFO262" s="169"/>
      <c r="IFP262" s="169"/>
      <c r="IFQ262" s="169"/>
      <c r="IFR262" s="169"/>
      <c r="IFS262" s="169"/>
      <c r="IFT262" s="169"/>
      <c r="IFU262" s="169"/>
      <c r="IFV262" s="169"/>
      <c r="IFW262" s="169"/>
      <c r="IFX262" s="169"/>
      <c r="IFY262" s="169"/>
      <c r="IFZ262" s="169"/>
      <c r="IGA262" s="169"/>
      <c r="IGB262" s="169"/>
      <c r="IGC262" s="169"/>
      <c r="IGD262" s="169"/>
      <c r="IGE262" s="169"/>
      <c r="IGF262" s="169"/>
      <c r="IGG262" s="169"/>
      <c r="IGH262" s="169"/>
      <c r="IGI262" s="169"/>
      <c r="IGJ262" s="169"/>
      <c r="IGK262" s="169"/>
      <c r="IGL262" s="169"/>
      <c r="IGM262" s="169"/>
      <c r="IGN262" s="169"/>
      <c r="IGO262" s="169"/>
      <c r="IGP262" s="169"/>
      <c r="IGQ262" s="169"/>
      <c r="IGR262" s="169"/>
      <c r="IGS262" s="169"/>
      <c r="IGT262" s="169"/>
      <c r="IGU262" s="169"/>
      <c r="IGV262" s="169"/>
      <c r="IGW262" s="169"/>
      <c r="IGX262" s="169"/>
      <c r="IGY262" s="169"/>
      <c r="IGZ262" s="169"/>
      <c r="IHA262" s="169"/>
      <c r="IHB262" s="169"/>
      <c r="IHC262" s="169"/>
      <c r="IHD262" s="169"/>
      <c r="IHE262" s="169"/>
      <c r="IHF262" s="169"/>
      <c r="IHG262" s="169"/>
      <c r="IHH262" s="169"/>
      <c r="IHI262" s="169"/>
      <c r="IHJ262" s="169"/>
      <c r="IHK262" s="169"/>
      <c r="IHL262" s="169"/>
      <c r="IHM262" s="169"/>
      <c r="IHN262" s="169"/>
      <c r="IHO262" s="169"/>
      <c r="IHP262" s="169"/>
      <c r="IHQ262" s="169"/>
      <c r="IHR262" s="169"/>
      <c r="IHS262" s="169"/>
      <c r="IHT262" s="169"/>
      <c r="IHU262" s="169"/>
      <c r="IHV262" s="169"/>
      <c r="IHW262" s="169"/>
      <c r="IHX262" s="169"/>
      <c r="IHY262" s="169"/>
      <c r="IHZ262" s="169"/>
      <c r="IIA262" s="169"/>
      <c r="IIB262" s="169"/>
      <c r="IIC262" s="169"/>
      <c r="IID262" s="169"/>
      <c r="IIE262" s="169"/>
      <c r="IIF262" s="169"/>
      <c r="IIG262" s="169"/>
      <c r="IIH262" s="169"/>
      <c r="III262" s="169"/>
      <c r="IIJ262" s="169"/>
      <c r="IIK262" s="169"/>
      <c r="IIL262" s="169"/>
      <c r="IIM262" s="169"/>
      <c r="IIN262" s="169"/>
      <c r="IIO262" s="169"/>
      <c r="IIP262" s="169"/>
      <c r="IIQ262" s="169"/>
      <c r="IIR262" s="169"/>
      <c r="IIS262" s="169"/>
      <c r="IIT262" s="169"/>
      <c r="IIU262" s="169"/>
      <c r="IIV262" s="169"/>
      <c r="IIW262" s="169"/>
      <c r="IIX262" s="169"/>
      <c r="IIY262" s="169"/>
      <c r="IIZ262" s="169"/>
      <c r="IJA262" s="169"/>
      <c r="IJB262" s="169"/>
      <c r="IJC262" s="169"/>
      <c r="IJD262" s="169"/>
      <c r="IJE262" s="169"/>
      <c r="IJF262" s="169"/>
      <c r="IJG262" s="169"/>
      <c r="IJH262" s="169"/>
      <c r="IJI262" s="169"/>
      <c r="IJJ262" s="169"/>
      <c r="IJK262" s="169"/>
      <c r="IJL262" s="169"/>
      <c r="IJM262" s="169"/>
      <c r="IJN262" s="169"/>
      <c r="IJO262" s="169"/>
      <c r="IJP262" s="169"/>
      <c r="IJQ262" s="169"/>
      <c r="IJR262" s="169"/>
      <c r="IJS262" s="169"/>
      <c r="IJT262" s="169"/>
      <c r="IJU262" s="169"/>
      <c r="IJV262" s="169"/>
      <c r="IJW262" s="169"/>
      <c r="IJX262" s="169"/>
      <c r="IJY262" s="169"/>
      <c r="IJZ262" s="169"/>
      <c r="IKA262" s="169"/>
      <c r="IKB262" s="169"/>
      <c r="IKC262" s="169"/>
      <c r="IKD262" s="169"/>
      <c r="IKE262" s="169"/>
      <c r="IKF262" s="169"/>
      <c r="IKG262" s="169"/>
      <c r="IKH262" s="169"/>
      <c r="IKI262" s="169"/>
      <c r="IKJ262" s="169"/>
      <c r="IKK262" s="169"/>
      <c r="IKL262" s="169"/>
      <c r="IKM262" s="169"/>
      <c r="IKN262" s="169"/>
      <c r="IKO262" s="169"/>
      <c r="IKP262" s="169"/>
      <c r="IKQ262" s="169"/>
      <c r="IKR262" s="169"/>
      <c r="IKS262" s="169"/>
      <c r="IKT262" s="169"/>
      <c r="IKU262" s="169"/>
      <c r="IKV262" s="169"/>
      <c r="IKW262" s="169"/>
      <c r="IKX262" s="169"/>
      <c r="IKY262" s="169"/>
      <c r="IKZ262" s="169"/>
      <c r="ILA262" s="169"/>
      <c r="ILB262" s="169"/>
      <c r="ILC262" s="169"/>
      <c r="ILD262" s="169"/>
      <c r="ILE262" s="169"/>
      <c r="ILF262" s="169"/>
      <c r="ILG262" s="169"/>
      <c r="ILH262" s="169"/>
      <c r="ILI262" s="169"/>
      <c r="ILJ262" s="169"/>
      <c r="ILK262" s="169"/>
      <c r="ILL262" s="169"/>
      <c r="ILM262" s="169"/>
      <c r="ILN262" s="169"/>
      <c r="ILO262" s="169"/>
      <c r="ILP262" s="169"/>
      <c r="ILQ262" s="169"/>
      <c r="ILR262" s="169"/>
      <c r="ILS262" s="169"/>
      <c r="ILT262" s="169"/>
      <c r="ILU262" s="169"/>
      <c r="ILV262" s="169"/>
      <c r="ILW262" s="169"/>
      <c r="ILX262" s="169"/>
      <c r="ILY262" s="169"/>
      <c r="ILZ262" s="169"/>
      <c r="IMA262" s="169"/>
      <c r="IMB262" s="169"/>
      <c r="IMC262" s="169"/>
      <c r="IMD262" s="169"/>
      <c r="IME262" s="169"/>
      <c r="IMF262" s="169"/>
      <c r="IMG262" s="169"/>
      <c r="IMH262" s="169"/>
      <c r="IMI262" s="169"/>
      <c r="IMJ262" s="169"/>
      <c r="IMK262" s="169"/>
      <c r="IML262" s="169"/>
      <c r="IMM262" s="169"/>
      <c r="IMN262" s="169"/>
      <c r="IMO262" s="169"/>
      <c r="IMP262" s="169"/>
      <c r="IMQ262" s="169"/>
      <c r="IMR262" s="169"/>
      <c r="IMS262" s="169"/>
      <c r="IMT262" s="169"/>
      <c r="IMU262" s="169"/>
      <c r="IMV262" s="169"/>
      <c r="IMW262" s="169"/>
      <c r="IMX262" s="169"/>
      <c r="IMY262" s="169"/>
      <c r="IMZ262" s="169"/>
      <c r="INA262" s="169"/>
      <c r="INB262" s="169"/>
      <c r="INC262" s="169"/>
      <c r="IND262" s="169"/>
      <c r="INE262" s="169"/>
      <c r="INF262" s="169"/>
      <c r="ING262" s="169"/>
      <c r="INH262" s="169"/>
      <c r="INI262" s="169"/>
      <c r="INJ262" s="169"/>
      <c r="INK262" s="169"/>
      <c r="INL262" s="169"/>
      <c r="INM262" s="169"/>
      <c r="INN262" s="169"/>
      <c r="INO262" s="169"/>
      <c r="INP262" s="169"/>
      <c r="INQ262" s="169"/>
      <c r="INR262" s="169"/>
      <c r="INS262" s="169"/>
      <c r="INT262" s="169"/>
      <c r="INU262" s="169"/>
      <c r="INV262" s="169"/>
      <c r="INW262" s="169"/>
      <c r="INX262" s="169"/>
      <c r="INY262" s="169"/>
      <c r="INZ262" s="169"/>
      <c r="IOA262" s="169"/>
      <c r="IOB262" s="169"/>
      <c r="IOC262" s="169"/>
      <c r="IOD262" s="169"/>
      <c r="IOE262" s="169"/>
      <c r="IOF262" s="169"/>
      <c r="IOG262" s="169"/>
      <c r="IOH262" s="169"/>
      <c r="IOI262" s="169"/>
      <c r="IOJ262" s="169"/>
      <c r="IOK262" s="169"/>
      <c r="IOL262" s="169"/>
      <c r="IOM262" s="169"/>
      <c r="ION262" s="169"/>
      <c r="IOO262" s="169"/>
      <c r="IOP262" s="169"/>
      <c r="IOQ262" s="169"/>
      <c r="IOR262" s="169"/>
      <c r="IOS262" s="169"/>
      <c r="IOT262" s="169"/>
      <c r="IOU262" s="169"/>
      <c r="IOV262" s="169"/>
      <c r="IOW262" s="169"/>
      <c r="IOX262" s="169"/>
      <c r="IOY262" s="169"/>
      <c r="IOZ262" s="169"/>
      <c r="IPA262" s="169"/>
      <c r="IPB262" s="169"/>
      <c r="IPC262" s="169"/>
      <c r="IPD262" s="169"/>
      <c r="IPE262" s="169"/>
      <c r="IPF262" s="169"/>
      <c r="IPG262" s="169"/>
      <c r="IPH262" s="169"/>
      <c r="IPI262" s="169"/>
      <c r="IPJ262" s="169"/>
      <c r="IPK262" s="169"/>
      <c r="IPL262" s="169"/>
      <c r="IPM262" s="169"/>
      <c r="IPN262" s="169"/>
      <c r="IPO262" s="169"/>
      <c r="IPP262" s="169"/>
      <c r="IPQ262" s="169"/>
      <c r="IPR262" s="169"/>
      <c r="IPS262" s="169"/>
      <c r="IPT262" s="169"/>
      <c r="IPU262" s="169"/>
      <c r="IPV262" s="169"/>
      <c r="IPW262" s="169"/>
      <c r="IPX262" s="169"/>
      <c r="IPY262" s="169"/>
      <c r="IPZ262" s="169"/>
      <c r="IQA262" s="169"/>
      <c r="IQB262" s="169"/>
      <c r="IQC262" s="169"/>
      <c r="IQD262" s="169"/>
      <c r="IQE262" s="169"/>
      <c r="IQF262" s="169"/>
      <c r="IQG262" s="169"/>
      <c r="IQH262" s="169"/>
      <c r="IQI262" s="169"/>
      <c r="IQJ262" s="169"/>
      <c r="IQK262" s="169"/>
      <c r="IQL262" s="169"/>
      <c r="IQM262" s="169"/>
      <c r="IQN262" s="169"/>
      <c r="IQO262" s="169"/>
      <c r="IQP262" s="169"/>
      <c r="IQQ262" s="169"/>
      <c r="IQR262" s="169"/>
      <c r="IQS262" s="169"/>
      <c r="IQT262" s="169"/>
      <c r="IQU262" s="169"/>
      <c r="IQV262" s="169"/>
      <c r="IQW262" s="169"/>
      <c r="IQX262" s="169"/>
      <c r="IQY262" s="169"/>
      <c r="IQZ262" s="169"/>
      <c r="IRA262" s="169"/>
      <c r="IRB262" s="169"/>
      <c r="IRC262" s="169"/>
      <c r="IRD262" s="169"/>
      <c r="IRE262" s="169"/>
      <c r="IRF262" s="169"/>
      <c r="IRG262" s="169"/>
      <c r="IRH262" s="169"/>
      <c r="IRI262" s="169"/>
      <c r="IRJ262" s="169"/>
      <c r="IRK262" s="169"/>
      <c r="IRL262" s="169"/>
      <c r="IRM262" s="169"/>
      <c r="IRN262" s="169"/>
      <c r="IRO262" s="169"/>
      <c r="IRP262" s="169"/>
      <c r="IRQ262" s="169"/>
      <c r="IRR262" s="169"/>
      <c r="IRS262" s="169"/>
      <c r="IRT262" s="169"/>
      <c r="IRU262" s="169"/>
      <c r="IRV262" s="169"/>
      <c r="IRW262" s="169"/>
      <c r="IRX262" s="169"/>
      <c r="IRY262" s="169"/>
      <c r="IRZ262" s="169"/>
      <c r="ISA262" s="169"/>
      <c r="ISB262" s="169"/>
      <c r="ISC262" s="169"/>
      <c r="ISD262" s="169"/>
      <c r="ISE262" s="169"/>
      <c r="ISF262" s="169"/>
      <c r="ISG262" s="169"/>
      <c r="ISH262" s="169"/>
      <c r="ISI262" s="169"/>
      <c r="ISJ262" s="169"/>
      <c r="ISK262" s="169"/>
      <c r="ISL262" s="169"/>
      <c r="ISM262" s="169"/>
      <c r="ISN262" s="169"/>
      <c r="ISO262" s="169"/>
      <c r="ISP262" s="169"/>
      <c r="ISQ262" s="169"/>
      <c r="ISR262" s="169"/>
      <c r="ISS262" s="169"/>
      <c r="IST262" s="169"/>
      <c r="ISU262" s="169"/>
      <c r="ISV262" s="169"/>
      <c r="ISW262" s="169"/>
      <c r="ISX262" s="169"/>
      <c r="ISY262" s="169"/>
      <c r="ISZ262" s="169"/>
      <c r="ITA262" s="169"/>
      <c r="ITB262" s="169"/>
      <c r="ITC262" s="169"/>
      <c r="ITD262" s="169"/>
      <c r="ITE262" s="169"/>
      <c r="ITF262" s="169"/>
      <c r="ITG262" s="169"/>
      <c r="ITH262" s="169"/>
      <c r="ITI262" s="169"/>
      <c r="ITJ262" s="169"/>
      <c r="ITK262" s="169"/>
      <c r="ITL262" s="169"/>
      <c r="ITM262" s="169"/>
      <c r="ITN262" s="169"/>
      <c r="ITO262" s="169"/>
      <c r="ITP262" s="169"/>
      <c r="ITQ262" s="169"/>
      <c r="ITR262" s="169"/>
      <c r="ITS262" s="169"/>
      <c r="ITT262" s="169"/>
      <c r="ITU262" s="169"/>
      <c r="ITV262" s="169"/>
      <c r="ITW262" s="169"/>
      <c r="ITX262" s="169"/>
      <c r="ITY262" s="169"/>
      <c r="ITZ262" s="169"/>
      <c r="IUA262" s="169"/>
      <c r="IUB262" s="169"/>
      <c r="IUC262" s="169"/>
      <c r="IUD262" s="169"/>
      <c r="IUE262" s="169"/>
      <c r="IUF262" s="169"/>
      <c r="IUG262" s="169"/>
      <c r="IUH262" s="169"/>
      <c r="IUI262" s="169"/>
      <c r="IUJ262" s="169"/>
      <c r="IUK262" s="169"/>
      <c r="IUL262" s="169"/>
      <c r="IUM262" s="169"/>
      <c r="IUN262" s="169"/>
      <c r="IUO262" s="169"/>
      <c r="IUP262" s="169"/>
      <c r="IUQ262" s="169"/>
      <c r="IUR262" s="169"/>
      <c r="IUS262" s="169"/>
      <c r="IUT262" s="169"/>
      <c r="IUU262" s="169"/>
      <c r="IUV262" s="169"/>
      <c r="IUW262" s="169"/>
      <c r="IUX262" s="169"/>
      <c r="IUY262" s="169"/>
      <c r="IUZ262" s="169"/>
      <c r="IVA262" s="169"/>
      <c r="IVB262" s="169"/>
      <c r="IVC262" s="169"/>
      <c r="IVD262" s="169"/>
      <c r="IVE262" s="169"/>
      <c r="IVF262" s="169"/>
      <c r="IVG262" s="169"/>
      <c r="IVH262" s="169"/>
      <c r="IVI262" s="169"/>
      <c r="IVJ262" s="169"/>
      <c r="IVK262" s="169"/>
      <c r="IVL262" s="169"/>
      <c r="IVM262" s="169"/>
      <c r="IVN262" s="169"/>
      <c r="IVO262" s="169"/>
      <c r="IVP262" s="169"/>
      <c r="IVQ262" s="169"/>
      <c r="IVR262" s="169"/>
      <c r="IVS262" s="169"/>
      <c r="IVT262" s="169"/>
      <c r="IVU262" s="169"/>
      <c r="IVV262" s="169"/>
      <c r="IVW262" s="169"/>
      <c r="IVX262" s="169"/>
      <c r="IVY262" s="169"/>
      <c r="IVZ262" s="169"/>
      <c r="IWA262" s="169"/>
      <c r="IWB262" s="169"/>
      <c r="IWC262" s="169"/>
      <c r="IWD262" s="169"/>
      <c r="IWE262" s="169"/>
      <c r="IWF262" s="169"/>
      <c r="IWG262" s="169"/>
      <c r="IWH262" s="169"/>
      <c r="IWI262" s="169"/>
      <c r="IWJ262" s="169"/>
      <c r="IWK262" s="169"/>
      <c r="IWL262" s="169"/>
      <c r="IWM262" s="169"/>
      <c r="IWN262" s="169"/>
      <c r="IWO262" s="169"/>
      <c r="IWP262" s="169"/>
      <c r="IWQ262" s="169"/>
      <c r="IWR262" s="169"/>
      <c r="IWS262" s="169"/>
      <c r="IWT262" s="169"/>
      <c r="IWU262" s="169"/>
      <c r="IWV262" s="169"/>
      <c r="IWW262" s="169"/>
      <c r="IWX262" s="169"/>
      <c r="IWY262" s="169"/>
      <c r="IWZ262" s="169"/>
      <c r="IXA262" s="169"/>
      <c r="IXB262" s="169"/>
      <c r="IXC262" s="169"/>
      <c r="IXD262" s="169"/>
      <c r="IXE262" s="169"/>
      <c r="IXF262" s="169"/>
      <c r="IXG262" s="169"/>
      <c r="IXH262" s="169"/>
      <c r="IXI262" s="169"/>
      <c r="IXJ262" s="169"/>
      <c r="IXK262" s="169"/>
      <c r="IXL262" s="169"/>
      <c r="IXM262" s="169"/>
      <c r="IXN262" s="169"/>
      <c r="IXO262" s="169"/>
      <c r="IXP262" s="169"/>
      <c r="IXQ262" s="169"/>
      <c r="IXR262" s="169"/>
      <c r="IXS262" s="169"/>
      <c r="IXT262" s="169"/>
      <c r="IXU262" s="169"/>
      <c r="IXV262" s="169"/>
      <c r="IXW262" s="169"/>
      <c r="IXX262" s="169"/>
      <c r="IXY262" s="169"/>
      <c r="IXZ262" s="169"/>
      <c r="IYA262" s="169"/>
      <c r="IYB262" s="169"/>
      <c r="IYC262" s="169"/>
      <c r="IYD262" s="169"/>
      <c r="IYE262" s="169"/>
      <c r="IYF262" s="169"/>
      <c r="IYG262" s="169"/>
      <c r="IYH262" s="169"/>
      <c r="IYI262" s="169"/>
      <c r="IYJ262" s="169"/>
      <c r="IYK262" s="169"/>
      <c r="IYL262" s="169"/>
      <c r="IYM262" s="169"/>
      <c r="IYN262" s="169"/>
      <c r="IYO262" s="169"/>
      <c r="IYP262" s="169"/>
      <c r="IYQ262" s="169"/>
      <c r="IYR262" s="169"/>
      <c r="IYS262" s="169"/>
      <c r="IYT262" s="169"/>
      <c r="IYU262" s="169"/>
      <c r="IYV262" s="169"/>
      <c r="IYW262" s="169"/>
      <c r="IYX262" s="169"/>
      <c r="IYY262" s="169"/>
      <c r="IYZ262" s="169"/>
      <c r="IZA262" s="169"/>
      <c r="IZB262" s="169"/>
      <c r="IZC262" s="169"/>
      <c r="IZD262" s="169"/>
      <c r="IZE262" s="169"/>
      <c r="IZF262" s="169"/>
      <c r="IZG262" s="169"/>
      <c r="IZH262" s="169"/>
      <c r="IZI262" s="169"/>
      <c r="IZJ262" s="169"/>
      <c r="IZK262" s="169"/>
      <c r="IZL262" s="169"/>
      <c r="IZM262" s="169"/>
      <c r="IZN262" s="169"/>
      <c r="IZO262" s="169"/>
      <c r="IZP262" s="169"/>
      <c r="IZQ262" s="169"/>
      <c r="IZR262" s="169"/>
      <c r="IZS262" s="169"/>
      <c r="IZT262" s="169"/>
      <c r="IZU262" s="169"/>
      <c r="IZV262" s="169"/>
      <c r="IZW262" s="169"/>
      <c r="IZX262" s="169"/>
      <c r="IZY262" s="169"/>
      <c r="IZZ262" s="169"/>
      <c r="JAA262" s="169"/>
      <c r="JAB262" s="169"/>
      <c r="JAC262" s="169"/>
      <c r="JAD262" s="169"/>
      <c r="JAE262" s="169"/>
      <c r="JAF262" s="169"/>
      <c r="JAG262" s="169"/>
      <c r="JAH262" s="169"/>
      <c r="JAI262" s="169"/>
      <c r="JAJ262" s="169"/>
      <c r="JAK262" s="169"/>
      <c r="JAL262" s="169"/>
      <c r="JAM262" s="169"/>
      <c r="JAN262" s="169"/>
      <c r="JAO262" s="169"/>
      <c r="JAP262" s="169"/>
      <c r="JAQ262" s="169"/>
      <c r="JAR262" s="169"/>
      <c r="JAS262" s="169"/>
      <c r="JAT262" s="169"/>
      <c r="JAU262" s="169"/>
      <c r="JAV262" s="169"/>
      <c r="JAW262" s="169"/>
      <c r="JAX262" s="169"/>
      <c r="JAY262" s="169"/>
      <c r="JAZ262" s="169"/>
      <c r="JBA262" s="169"/>
      <c r="JBB262" s="169"/>
      <c r="JBC262" s="169"/>
      <c r="JBD262" s="169"/>
      <c r="JBE262" s="169"/>
      <c r="JBF262" s="169"/>
      <c r="JBG262" s="169"/>
      <c r="JBH262" s="169"/>
      <c r="JBI262" s="169"/>
      <c r="JBJ262" s="169"/>
      <c r="JBK262" s="169"/>
      <c r="JBL262" s="169"/>
      <c r="JBM262" s="169"/>
      <c r="JBN262" s="169"/>
      <c r="JBO262" s="169"/>
      <c r="JBP262" s="169"/>
      <c r="JBQ262" s="169"/>
      <c r="JBR262" s="169"/>
      <c r="JBS262" s="169"/>
      <c r="JBT262" s="169"/>
      <c r="JBU262" s="169"/>
      <c r="JBV262" s="169"/>
      <c r="JBW262" s="169"/>
      <c r="JBX262" s="169"/>
      <c r="JBY262" s="169"/>
      <c r="JBZ262" s="169"/>
      <c r="JCA262" s="169"/>
      <c r="JCB262" s="169"/>
      <c r="JCC262" s="169"/>
      <c r="JCD262" s="169"/>
      <c r="JCE262" s="169"/>
      <c r="JCF262" s="169"/>
      <c r="JCG262" s="169"/>
      <c r="JCH262" s="169"/>
      <c r="JCI262" s="169"/>
      <c r="JCJ262" s="169"/>
      <c r="JCK262" s="169"/>
      <c r="JCL262" s="169"/>
      <c r="JCM262" s="169"/>
      <c r="JCN262" s="169"/>
      <c r="JCO262" s="169"/>
      <c r="JCP262" s="169"/>
      <c r="JCQ262" s="169"/>
      <c r="JCR262" s="169"/>
      <c r="JCS262" s="169"/>
      <c r="JCT262" s="169"/>
      <c r="JCU262" s="169"/>
      <c r="JCV262" s="169"/>
      <c r="JCW262" s="169"/>
      <c r="JCX262" s="169"/>
      <c r="JCY262" s="169"/>
      <c r="JCZ262" s="169"/>
      <c r="JDA262" s="169"/>
      <c r="JDB262" s="169"/>
      <c r="JDC262" s="169"/>
      <c r="JDD262" s="169"/>
      <c r="JDE262" s="169"/>
      <c r="JDF262" s="169"/>
      <c r="JDG262" s="169"/>
      <c r="JDH262" s="169"/>
      <c r="JDI262" s="169"/>
      <c r="JDJ262" s="169"/>
      <c r="JDK262" s="169"/>
      <c r="JDL262" s="169"/>
      <c r="JDM262" s="169"/>
      <c r="JDN262" s="169"/>
      <c r="JDO262" s="169"/>
      <c r="JDP262" s="169"/>
      <c r="JDQ262" s="169"/>
      <c r="JDR262" s="169"/>
      <c r="JDS262" s="169"/>
      <c r="JDT262" s="169"/>
      <c r="JDU262" s="169"/>
      <c r="JDV262" s="169"/>
      <c r="JDW262" s="169"/>
      <c r="JDX262" s="169"/>
      <c r="JDY262" s="169"/>
      <c r="JDZ262" s="169"/>
      <c r="JEA262" s="169"/>
      <c r="JEB262" s="169"/>
      <c r="JEC262" s="169"/>
      <c r="JED262" s="169"/>
      <c r="JEE262" s="169"/>
      <c r="JEF262" s="169"/>
      <c r="JEG262" s="169"/>
      <c r="JEH262" s="169"/>
      <c r="JEI262" s="169"/>
      <c r="JEJ262" s="169"/>
      <c r="JEK262" s="169"/>
      <c r="JEL262" s="169"/>
      <c r="JEM262" s="169"/>
      <c r="JEN262" s="169"/>
      <c r="JEO262" s="169"/>
      <c r="JEP262" s="169"/>
      <c r="JEQ262" s="169"/>
      <c r="JER262" s="169"/>
      <c r="JES262" s="169"/>
      <c r="JET262" s="169"/>
      <c r="JEU262" s="169"/>
      <c r="JEV262" s="169"/>
      <c r="JEW262" s="169"/>
      <c r="JEX262" s="169"/>
      <c r="JEY262" s="169"/>
      <c r="JEZ262" s="169"/>
      <c r="JFA262" s="169"/>
      <c r="JFB262" s="169"/>
      <c r="JFC262" s="169"/>
      <c r="JFD262" s="169"/>
      <c r="JFE262" s="169"/>
      <c r="JFF262" s="169"/>
      <c r="JFG262" s="169"/>
      <c r="JFH262" s="169"/>
      <c r="JFI262" s="169"/>
      <c r="JFJ262" s="169"/>
      <c r="JFK262" s="169"/>
      <c r="JFL262" s="169"/>
      <c r="JFM262" s="169"/>
      <c r="JFN262" s="169"/>
      <c r="JFO262" s="169"/>
      <c r="JFP262" s="169"/>
      <c r="JFQ262" s="169"/>
      <c r="JFR262" s="169"/>
      <c r="JFS262" s="169"/>
      <c r="JFT262" s="169"/>
      <c r="JFU262" s="169"/>
      <c r="JFV262" s="169"/>
      <c r="JFW262" s="169"/>
      <c r="JFX262" s="169"/>
      <c r="JFY262" s="169"/>
      <c r="JFZ262" s="169"/>
      <c r="JGA262" s="169"/>
      <c r="JGB262" s="169"/>
      <c r="JGC262" s="169"/>
      <c r="JGD262" s="169"/>
      <c r="JGE262" s="169"/>
      <c r="JGF262" s="169"/>
      <c r="JGG262" s="169"/>
      <c r="JGH262" s="169"/>
      <c r="JGI262" s="169"/>
      <c r="JGJ262" s="169"/>
      <c r="JGK262" s="169"/>
      <c r="JGL262" s="169"/>
      <c r="JGM262" s="169"/>
      <c r="JGN262" s="169"/>
      <c r="JGO262" s="169"/>
      <c r="JGP262" s="169"/>
      <c r="JGQ262" s="169"/>
      <c r="JGR262" s="169"/>
      <c r="JGS262" s="169"/>
      <c r="JGT262" s="169"/>
      <c r="JGU262" s="169"/>
      <c r="JGV262" s="169"/>
      <c r="JGW262" s="169"/>
      <c r="JGX262" s="169"/>
      <c r="JGY262" s="169"/>
      <c r="JGZ262" s="169"/>
      <c r="JHA262" s="169"/>
      <c r="JHB262" s="169"/>
      <c r="JHC262" s="169"/>
      <c r="JHD262" s="169"/>
      <c r="JHE262" s="169"/>
      <c r="JHF262" s="169"/>
      <c r="JHG262" s="169"/>
      <c r="JHH262" s="169"/>
      <c r="JHI262" s="169"/>
      <c r="JHJ262" s="169"/>
      <c r="JHK262" s="169"/>
      <c r="JHL262" s="169"/>
      <c r="JHM262" s="169"/>
      <c r="JHN262" s="169"/>
      <c r="JHO262" s="169"/>
      <c r="JHP262" s="169"/>
      <c r="JHQ262" s="169"/>
      <c r="JHR262" s="169"/>
      <c r="JHS262" s="169"/>
      <c r="JHT262" s="169"/>
      <c r="JHU262" s="169"/>
      <c r="JHV262" s="169"/>
      <c r="JHW262" s="169"/>
      <c r="JHX262" s="169"/>
      <c r="JHY262" s="169"/>
      <c r="JHZ262" s="169"/>
      <c r="JIA262" s="169"/>
      <c r="JIB262" s="169"/>
      <c r="JIC262" s="169"/>
      <c r="JID262" s="169"/>
      <c r="JIE262" s="169"/>
      <c r="JIF262" s="169"/>
      <c r="JIG262" s="169"/>
      <c r="JIH262" s="169"/>
      <c r="JII262" s="169"/>
      <c r="JIJ262" s="169"/>
      <c r="JIK262" s="169"/>
      <c r="JIL262" s="169"/>
      <c r="JIM262" s="169"/>
      <c r="JIN262" s="169"/>
      <c r="JIO262" s="169"/>
      <c r="JIP262" s="169"/>
      <c r="JIQ262" s="169"/>
      <c r="JIR262" s="169"/>
      <c r="JIS262" s="169"/>
      <c r="JIT262" s="169"/>
      <c r="JIU262" s="169"/>
      <c r="JIV262" s="169"/>
      <c r="JIW262" s="169"/>
      <c r="JIX262" s="169"/>
      <c r="JIY262" s="169"/>
      <c r="JIZ262" s="169"/>
      <c r="JJA262" s="169"/>
      <c r="JJB262" s="169"/>
      <c r="JJC262" s="169"/>
      <c r="JJD262" s="169"/>
      <c r="JJE262" s="169"/>
      <c r="JJF262" s="169"/>
      <c r="JJG262" s="169"/>
      <c r="JJH262" s="169"/>
      <c r="JJI262" s="169"/>
      <c r="JJJ262" s="169"/>
      <c r="JJK262" s="169"/>
      <c r="JJL262" s="169"/>
      <c r="JJM262" s="169"/>
      <c r="JJN262" s="169"/>
      <c r="JJO262" s="169"/>
      <c r="JJP262" s="169"/>
      <c r="JJQ262" s="169"/>
      <c r="JJR262" s="169"/>
      <c r="JJS262" s="169"/>
      <c r="JJT262" s="169"/>
      <c r="JJU262" s="169"/>
      <c r="JJV262" s="169"/>
      <c r="JJW262" s="169"/>
      <c r="JJX262" s="169"/>
      <c r="JJY262" s="169"/>
      <c r="JJZ262" s="169"/>
      <c r="JKA262" s="169"/>
      <c r="JKB262" s="169"/>
      <c r="JKC262" s="169"/>
      <c r="JKD262" s="169"/>
      <c r="JKE262" s="169"/>
      <c r="JKF262" s="169"/>
      <c r="JKG262" s="169"/>
      <c r="JKH262" s="169"/>
      <c r="JKI262" s="169"/>
      <c r="JKJ262" s="169"/>
      <c r="JKK262" s="169"/>
      <c r="JKL262" s="169"/>
      <c r="JKM262" s="169"/>
      <c r="JKN262" s="169"/>
      <c r="JKO262" s="169"/>
      <c r="JKP262" s="169"/>
      <c r="JKQ262" s="169"/>
      <c r="JKR262" s="169"/>
      <c r="JKS262" s="169"/>
      <c r="JKT262" s="169"/>
      <c r="JKU262" s="169"/>
      <c r="JKV262" s="169"/>
      <c r="JKW262" s="169"/>
      <c r="JKX262" s="169"/>
      <c r="JKY262" s="169"/>
      <c r="JKZ262" s="169"/>
      <c r="JLA262" s="169"/>
      <c r="JLB262" s="169"/>
      <c r="JLC262" s="169"/>
      <c r="JLD262" s="169"/>
      <c r="JLE262" s="169"/>
      <c r="JLF262" s="169"/>
      <c r="JLG262" s="169"/>
      <c r="JLH262" s="169"/>
      <c r="JLI262" s="169"/>
      <c r="JLJ262" s="169"/>
      <c r="JLK262" s="169"/>
      <c r="JLL262" s="169"/>
      <c r="JLM262" s="169"/>
      <c r="JLN262" s="169"/>
      <c r="JLO262" s="169"/>
      <c r="JLP262" s="169"/>
      <c r="JLQ262" s="169"/>
      <c r="JLR262" s="169"/>
      <c r="JLS262" s="169"/>
      <c r="JLT262" s="169"/>
      <c r="JLU262" s="169"/>
      <c r="JLV262" s="169"/>
      <c r="JLW262" s="169"/>
      <c r="JLX262" s="169"/>
      <c r="JLY262" s="169"/>
      <c r="JLZ262" s="169"/>
      <c r="JMA262" s="169"/>
      <c r="JMB262" s="169"/>
      <c r="JMC262" s="169"/>
      <c r="JMD262" s="169"/>
      <c r="JME262" s="169"/>
      <c r="JMF262" s="169"/>
      <c r="JMG262" s="169"/>
      <c r="JMH262" s="169"/>
      <c r="JMI262" s="169"/>
      <c r="JMJ262" s="169"/>
      <c r="JMK262" s="169"/>
      <c r="JML262" s="169"/>
      <c r="JMM262" s="169"/>
      <c r="JMN262" s="169"/>
      <c r="JMO262" s="169"/>
      <c r="JMP262" s="169"/>
      <c r="JMQ262" s="169"/>
      <c r="JMR262" s="169"/>
      <c r="JMS262" s="169"/>
      <c r="JMT262" s="169"/>
      <c r="JMU262" s="169"/>
      <c r="JMV262" s="169"/>
      <c r="JMW262" s="169"/>
      <c r="JMX262" s="169"/>
      <c r="JMY262" s="169"/>
      <c r="JMZ262" s="169"/>
      <c r="JNA262" s="169"/>
      <c r="JNB262" s="169"/>
      <c r="JNC262" s="169"/>
      <c r="JND262" s="169"/>
      <c r="JNE262" s="169"/>
      <c r="JNF262" s="169"/>
      <c r="JNG262" s="169"/>
      <c r="JNH262" s="169"/>
      <c r="JNI262" s="169"/>
      <c r="JNJ262" s="169"/>
      <c r="JNK262" s="169"/>
      <c r="JNL262" s="169"/>
      <c r="JNM262" s="169"/>
      <c r="JNN262" s="169"/>
      <c r="JNO262" s="169"/>
      <c r="JNP262" s="169"/>
      <c r="JNQ262" s="169"/>
      <c r="JNR262" s="169"/>
      <c r="JNS262" s="169"/>
      <c r="JNT262" s="169"/>
      <c r="JNU262" s="169"/>
      <c r="JNV262" s="169"/>
      <c r="JNW262" s="169"/>
      <c r="JNX262" s="169"/>
      <c r="JNY262" s="169"/>
      <c r="JNZ262" s="169"/>
      <c r="JOA262" s="169"/>
      <c r="JOB262" s="169"/>
      <c r="JOC262" s="169"/>
      <c r="JOD262" s="169"/>
      <c r="JOE262" s="169"/>
      <c r="JOF262" s="169"/>
      <c r="JOG262" s="169"/>
      <c r="JOH262" s="169"/>
      <c r="JOI262" s="169"/>
      <c r="JOJ262" s="169"/>
      <c r="JOK262" s="169"/>
      <c r="JOL262" s="169"/>
      <c r="JOM262" s="169"/>
      <c r="JON262" s="169"/>
      <c r="JOO262" s="169"/>
      <c r="JOP262" s="169"/>
      <c r="JOQ262" s="169"/>
      <c r="JOR262" s="169"/>
      <c r="JOS262" s="169"/>
      <c r="JOT262" s="169"/>
      <c r="JOU262" s="169"/>
      <c r="JOV262" s="169"/>
      <c r="JOW262" s="169"/>
      <c r="JOX262" s="169"/>
      <c r="JOY262" s="169"/>
      <c r="JOZ262" s="169"/>
      <c r="JPA262" s="169"/>
      <c r="JPB262" s="169"/>
      <c r="JPC262" s="169"/>
      <c r="JPD262" s="169"/>
      <c r="JPE262" s="169"/>
      <c r="JPF262" s="169"/>
      <c r="JPG262" s="169"/>
      <c r="JPH262" s="169"/>
      <c r="JPI262" s="169"/>
      <c r="JPJ262" s="169"/>
      <c r="JPK262" s="169"/>
      <c r="JPL262" s="169"/>
      <c r="JPM262" s="169"/>
      <c r="JPN262" s="169"/>
      <c r="JPO262" s="169"/>
      <c r="JPP262" s="169"/>
      <c r="JPQ262" s="169"/>
      <c r="JPR262" s="169"/>
      <c r="JPS262" s="169"/>
      <c r="JPT262" s="169"/>
      <c r="JPU262" s="169"/>
      <c r="JPV262" s="169"/>
      <c r="JPW262" s="169"/>
      <c r="JPX262" s="169"/>
      <c r="JPY262" s="169"/>
      <c r="JPZ262" s="169"/>
      <c r="JQA262" s="169"/>
      <c r="JQB262" s="169"/>
      <c r="JQC262" s="169"/>
      <c r="JQD262" s="169"/>
      <c r="JQE262" s="169"/>
      <c r="JQF262" s="169"/>
      <c r="JQG262" s="169"/>
      <c r="JQH262" s="169"/>
      <c r="JQI262" s="169"/>
      <c r="JQJ262" s="169"/>
      <c r="JQK262" s="169"/>
      <c r="JQL262" s="169"/>
      <c r="JQM262" s="169"/>
      <c r="JQN262" s="169"/>
      <c r="JQO262" s="169"/>
      <c r="JQP262" s="169"/>
      <c r="JQQ262" s="169"/>
      <c r="JQR262" s="169"/>
      <c r="JQS262" s="169"/>
      <c r="JQT262" s="169"/>
      <c r="JQU262" s="169"/>
      <c r="JQV262" s="169"/>
      <c r="JQW262" s="169"/>
      <c r="JQX262" s="169"/>
      <c r="JQY262" s="169"/>
      <c r="JQZ262" s="169"/>
      <c r="JRA262" s="169"/>
      <c r="JRB262" s="169"/>
      <c r="JRC262" s="169"/>
      <c r="JRD262" s="169"/>
      <c r="JRE262" s="169"/>
      <c r="JRF262" s="169"/>
      <c r="JRG262" s="169"/>
      <c r="JRH262" s="169"/>
      <c r="JRI262" s="169"/>
      <c r="JRJ262" s="169"/>
      <c r="JRK262" s="169"/>
      <c r="JRL262" s="169"/>
      <c r="JRM262" s="169"/>
      <c r="JRN262" s="169"/>
      <c r="JRO262" s="169"/>
      <c r="JRP262" s="169"/>
      <c r="JRQ262" s="169"/>
      <c r="JRR262" s="169"/>
      <c r="JRS262" s="169"/>
      <c r="JRT262" s="169"/>
      <c r="JRU262" s="169"/>
      <c r="JRV262" s="169"/>
      <c r="JRW262" s="169"/>
      <c r="JRX262" s="169"/>
      <c r="JRY262" s="169"/>
      <c r="JRZ262" s="169"/>
      <c r="JSA262" s="169"/>
      <c r="JSB262" s="169"/>
      <c r="JSC262" s="169"/>
      <c r="JSD262" s="169"/>
      <c r="JSE262" s="169"/>
      <c r="JSF262" s="169"/>
      <c r="JSG262" s="169"/>
      <c r="JSH262" s="169"/>
      <c r="JSI262" s="169"/>
      <c r="JSJ262" s="169"/>
      <c r="JSK262" s="169"/>
      <c r="JSL262" s="169"/>
      <c r="JSM262" s="169"/>
      <c r="JSN262" s="169"/>
      <c r="JSO262" s="169"/>
      <c r="JSP262" s="169"/>
      <c r="JSQ262" s="169"/>
      <c r="JSR262" s="169"/>
      <c r="JSS262" s="169"/>
      <c r="JST262" s="169"/>
      <c r="JSU262" s="169"/>
      <c r="JSV262" s="169"/>
      <c r="JSW262" s="169"/>
      <c r="JSX262" s="169"/>
      <c r="JSY262" s="169"/>
      <c r="JSZ262" s="169"/>
      <c r="JTA262" s="169"/>
      <c r="JTB262" s="169"/>
      <c r="JTC262" s="169"/>
      <c r="JTD262" s="169"/>
      <c r="JTE262" s="169"/>
      <c r="JTF262" s="169"/>
      <c r="JTG262" s="169"/>
      <c r="JTH262" s="169"/>
      <c r="JTI262" s="169"/>
      <c r="JTJ262" s="169"/>
      <c r="JTK262" s="169"/>
      <c r="JTL262" s="169"/>
      <c r="JTM262" s="169"/>
      <c r="JTN262" s="169"/>
      <c r="JTO262" s="169"/>
      <c r="JTP262" s="169"/>
      <c r="JTQ262" s="169"/>
      <c r="JTR262" s="169"/>
      <c r="JTS262" s="169"/>
      <c r="JTT262" s="169"/>
      <c r="JTU262" s="169"/>
      <c r="JTV262" s="169"/>
      <c r="JTW262" s="169"/>
      <c r="JTX262" s="169"/>
      <c r="JTY262" s="169"/>
      <c r="JTZ262" s="169"/>
      <c r="JUA262" s="169"/>
      <c r="JUB262" s="169"/>
      <c r="JUC262" s="169"/>
      <c r="JUD262" s="169"/>
      <c r="JUE262" s="169"/>
      <c r="JUF262" s="169"/>
      <c r="JUG262" s="169"/>
      <c r="JUH262" s="169"/>
      <c r="JUI262" s="169"/>
      <c r="JUJ262" s="169"/>
      <c r="JUK262" s="169"/>
      <c r="JUL262" s="169"/>
      <c r="JUM262" s="169"/>
      <c r="JUN262" s="169"/>
      <c r="JUO262" s="169"/>
      <c r="JUP262" s="169"/>
      <c r="JUQ262" s="169"/>
      <c r="JUR262" s="169"/>
      <c r="JUS262" s="169"/>
      <c r="JUT262" s="169"/>
      <c r="JUU262" s="169"/>
      <c r="JUV262" s="169"/>
      <c r="JUW262" s="169"/>
      <c r="JUX262" s="169"/>
      <c r="JUY262" s="169"/>
      <c r="JUZ262" s="169"/>
      <c r="JVA262" s="169"/>
      <c r="JVB262" s="169"/>
      <c r="JVC262" s="169"/>
      <c r="JVD262" s="169"/>
      <c r="JVE262" s="169"/>
      <c r="JVF262" s="169"/>
      <c r="JVG262" s="169"/>
      <c r="JVH262" s="169"/>
      <c r="JVI262" s="169"/>
      <c r="JVJ262" s="169"/>
      <c r="JVK262" s="169"/>
      <c r="JVL262" s="169"/>
      <c r="JVM262" s="169"/>
      <c r="JVN262" s="169"/>
      <c r="JVO262" s="169"/>
      <c r="JVP262" s="169"/>
      <c r="JVQ262" s="169"/>
      <c r="JVR262" s="169"/>
      <c r="JVS262" s="169"/>
      <c r="JVT262" s="169"/>
      <c r="JVU262" s="169"/>
      <c r="JVV262" s="169"/>
      <c r="JVW262" s="169"/>
      <c r="JVX262" s="169"/>
      <c r="JVY262" s="169"/>
      <c r="JVZ262" s="169"/>
      <c r="JWA262" s="169"/>
      <c r="JWB262" s="169"/>
      <c r="JWC262" s="169"/>
      <c r="JWD262" s="169"/>
      <c r="JWE262" s="169"/>
      <c r="JWF262" s="169"/>
      <c r="JWG262" s="169"/>
      <c r="JWH262" s="169"/>
      <c r="JWI262" s="169"/>
      <c r="JWJ262" s="169"/>
      <c r="JWK262" s="169"/>
      <c r="JWL262" s="169"/>
      <c r="JWM262" s="169"/>
      <c r="JWN262" s="169"/>
      <c r="JWO262" s="169"/>
      <c r="JWP262" s="169"/>
      <c r="JWQ262" s="169"/>
      <c r="JWR262" s="169"/>
      <c r="JWS262" s="169"/>
      <c r="JWT262" s="169"/>
      <c r="JWU262" s="169"/>
      <c r="JWV262" s="169"/>
      <c r="JWW262" s="169"/>
      <c r="JWX262" s="169"/>
      <c r="JWY262" s="169"/>
      <c r="JWZ262" s="169"/>
      <c r="JXA262" s="169"/>
      <c r="JXB262" s="169"/>
      <c r="JXC262" s="169"/>
      <c r="JXD262" s="169"/>
      <c r="JXE262" s="169"/>
      <c r="JXF262" s="169"/>
      <c r="JXG262" s="169"/>
      <c r="JXH262" s="169"/>
      <c r="JXI262" s="169"/>
      <c r="JXJ262" s="169"/>
      <c r="JXK262" s="169"/>
      <c r="JXL262" s="169"/>
      <c r="JXM262" s="169"/>
      <c r="JXN262" s="169"/>
      <c r="JXO262" s="169"/>
      <c r="JXP262" s="169"/>
      <c r="JXQ262" s="169"/>
      <c r="JXR262" s="169"/>
      <c r="JXS262" s="169"/>
      <c r="JXT262" s="169"/>
      <c r="JXU262" s="169"/>
      <c r="JXV262" s="169"/>
      <c r="JXW262" s="169"/>
      <c r="JXX262" s="169"/>
      <c r="JXY262" s="169"/>
      <c r="JXZ262" s="169"/>
      <c r="JYA262" s="169"/>
      <c r="JYB262" s="169"/>
      <c r="JYC262" s="169"/>
      <c r="JYD262" s="169"/>
      <c r="JYE262" s="169"/>
      <c r="JYF262" s="169"/>
      <c r="JYG262" s="169"/>
      <c r="JYH262" s="169"/>
      <c r="JYI262" s="169"/>
      <c r="JYJ262" s="169"/>
      <c r="JYK262" s="169"/>
      <c r="JYL262" s="169"/>
      <c r="JYM262" s="169"/>
      <c r="JYN262" s="169"/>
      <c r="JYO262" s="169"/>
      <c r="JYP262" s="169"/>
      <c r="JYQ262" s="169"/>
      <c r="JYR262" s="169"/>
      <c r="JYS262" s="169"/>
      <c r="JYT262" s="169"/>
      <c r="JYU262" s="169"/>
      <c r="JYV262" s="169"/>
      <c r="JYW262" s="169"/>
      <c r="JYX262" s="169"/>
      <c r="JYY262" s="169"/>
      <c r="JYZ262" s="169"/>
      <c r="JZA262" s="169"/>
      <c r="JZB262" s="169"/>
      <c r="JZC262" s="169"/>
      <c r="JZD262" s="169"/>
      <c r="JZE262" s="169"/>
      <c r="JZF262" s="169"/>
      <c r="JZG262" s="169"/>
      <c r="JZH262" s="169"/>
      <c r="JZI262" s="169"/>
      <c r="JZJ262" s="169"/>
      <c r="JZK262" s="169"/>
      <c r="JZL262" s="169"/>
      <c r="JZM262" s="169"/>
      <c r="JZN262" s="169"/>
      <c r="JZO262" s="169"/>
      <c r="JZP262" s="169"/>
      <c r="JZQ262" s="169"/>
      <c r="JZR262" s="169"/>
      <c r="JZS262" s="169"/>
      <c r="JZT262" s="169"/>
      <c r="JZU262" s="169"/>
      <c r="JZV262" s="169"/>
      <c r="JZW262" s="169"/>
      <c r="JZX262" s="169"/>
      <c r="JZY262" s="169"/>
      <c r="JZZ262" s="169"/>
      <c r="KAA262" s="169"/>
      <c r="KAB262" s="169"/>
      <c r="KAC262" s="169"/>
      <c r="KAD262" s="169"/>
      <c r="KAE262" s="169"/>
      <c r="KAF262" s="169"/>
      <c r="KAG262" s="169"/>
      <c r="KAH262" s="169"/>
      <c r="KAI262" s="169"/>
      <c r="KAJ262" s="169"/>
      <c r="KAK262" s="169"/>
      <c r="KAL262" s="169"/>
      <c r="KAM262" s="169"/>
      <c r="KAN262" s="169"/>
      <c r="KAO262" s="169"/>
      <c r="KAP262" s="169"/>
      <c r="KAQ262" s="169"/>
      <c r="KAR262" s="169"/>
      <c r="KAS262" s="169"/>
      <c r="KAT262" s="169"/>
      <c r="KAU262" s="169"/>
      <c r="KAV262" s="169"/>
      <c r="KAW262" s="169"/>
      <c r="KAX262" s="169"/>
      <c r="KAY262" s="169"/>
      <c r="KAZ262" s="169"/>
      <c r="KBA262" s="169"/>
      <c r="KBB262" s="169"/>
      <c r="KBC262" s="169"/>
      <c r="KBD262" s="169"/>
      <c r="KBE262" s="169"/>
      <c r="KBF262" s="169"/>
      <c r="KBG262" s="169"/>
      <c r="KBH262" s="169"/>
      <c r="KBI262" s="169"/>
      <c r="KBJ262" s="169"/>
      <c r="KBK262" s="169"/>
      <c r="KBL262" s="169"/>
      <c r="KBM262" s="169"/>
      <c r="KBN262" s="169"/>
      <c r="KBO262" s="169"/>
      <c r="KBP262" s="169"/>
      <c r="KBQ262" s="169"/>
      <c r="KBR262" s="169"/>
      <c r="KBS262" s="169"/>
      <c r="KBT262" s="169"/>
      <c r="KBU262" s="169"/>
      <c r="KBV262" s="169"/>
      <c r="KBW262" s="169"/>
      <c r="KBX262" s="169"/>
      <c r="KBY262" s="169"/>
      <c r="KBZ262" s="169"/>
      <c r="KCA262" s="169"/>
      <c r="KCB262" s="169"/>
      <c r="KCC262" s="169"/>
      <c r="KCD262" s="169"/>
      <c r="KCE262" s="169"/>
      <c r="KCF262" s="169"/>
      <c r="KCG262" s="169"/>
      <c r="KCH262" s="169"/>
      <c r="KCI262" s="169"/>
      <c r="KCJ262" s="169"/>
      <c r="KCK262" s="169"/>
      <c r="KCL262" s="169"/>
      <c r="KCM262" s="169"/>
      <c r="KCN262" s="169"/>
      <c r="KCO262" s="169"/>
      <c r="KCP262" s="169"/>
      <c r="KCQ262" s="169"/>
      <c r="KCR262" s="169"/>
      <c r="KCS262" s="169"/>
      <c r="KCT262" s="169"/>
      <c r="KCU262" s="169"/>
      <c r="KCV262" s="169"/>
      <c r="KCW262" s="169"/>
      <c r="KCX262" s="169"/>
      <c r="KCY262" s="169"/>
      <c r="KCZ262" s="169"/>
      <c r="KDA262" s="169"/>
      <c r="KDB262" s="169"/>
      <c r="KDC262" s="169"/>
      <c r="KDD262" s="169"/>
      <c r="KDE262" s="169"/>
      <c r="KDF262" s="169"/>
      <c r="KDG262" s="169"/>
      <c r="KDH262" s="169"/>
      <c r="KDI262" s="169"/>
      <c r="KDJ262" s="169"/>
      <c r="KDK262" s="169"/>
      <c r="KDL262" s="169"/>
      <c r="KDM262" s="169"/>
      <c r="KDN262" s="169"/>
      <c r="KDO262" s="169"/>
      <c r="KDP262" s="169"/>
      <c r="KDQ262" s="169"/>
      <c r="KDR262" s="169"/>
      <c r="KDS262" s="169"/>
      <c r="KDT262" s="169"/>
      <c r="KDU262" s="169"/>
      <c r="KDV262" s="169"/>
      <c r="KDW262" s="169"/>
      <c r="KDX262" s="169"/>
      <c r="KDY262" s="169"/>
      <c r="KDZ262" s="169"/>
      <c r="KEA262" s="169"/>
      <c r="KEB262" s="169"/>
      <c r="KEC262" s="169"/>
      <c r="KED262" s="169"/>
      <c r="KEE262" s="169"/>
      <c r="KEF262" s="169"/>
      <c r="KEG262" s="169"/>
      <c r="KEH262" s="169"/>
      <c r="KEI262" s="169"/>
      <c r="KEJ262" s="169"/>
      <c r="KEK262" s="169"/>
      <c r="KEL262" s="169"/>
      <c r="KEM262" s="169"/>
      <c r="KEN262" s="169"/>
      <c r="KEO262" s="169"/>
      <c r="KEP262" s="169"/>
      <c r="KEQ262" s="169"/>
      <c r="KER262" s="169"/>
      <c r="KES262" s="169"/>
      <c r="KET262" s="169"/>
      <c r="KEU262" s="169"/>
      <c r="KEV262" s="169"/>
      <c r="KEW262" s="169"/>
      <c r="KEX262" s="169"/>
      <c r="KEY262" s="169"/>
      <c r="KEZ262" s="169"/>
      <c r="KFA262" s="169"/>
      <c r="KFB262" s="169"/>
      <c r="KFC262" s="169"/>
      <c r="KFD262" s="169"/>
      <c r="KFE262" s="169"/>
      <c r="KFF262" s="169"/>
      <c r="KFG262" s="169"/>
      <c r="KFH262" s="169"/>
      <c r="KFI262" s="169"/>
      <c r="KFJ262" s="169"/>
      <c r="KFK262" s="169"/>
      <c r="KFL262" s="169"/>
      <c r="KFM262" s="169"/>
      <c r="KFN262" s="169"/>
      <c r="KFO262" s="169"/>
      <c r="KFP262" s="169"/>
      <c r="KFQ262" s="169"/>
      <c r="KFR262" s="169"/>
      <c r="KFS262" s="169"/>
      <c r="KFT262" s="169"/>
      <c r="KFU262" s="169"/>
      <c r="KFV262" s="169"/>
      <c r="KFW262" s="169"/>
      <c r="KFX262" s="169"/>
      <c r="KFY262" s="169"/>
      <c r="KFZ262" s="169"/>
      <c r="KGA262" s="169"/>
      <c r="KGB262" s="169"/>
      <c r="KGC262" s="169"/>
      <c r="KGD262" s="169"/>
      <c r="KGE262" s="169"/>
      <c r="KGF262" s="169"/>
      <c r="KGG262" s="169"/>
      <c r="KGH262" s="169"/>
      <c r="KGI262" s="169"/>
      <c r="KGJ262" s="169"/>
      <c r="KGK262" s="169"/>
      <c r="KGL262" s="169"/>
      <c r="KGM262" s="169"/>
      <c r="KGN262" s="169"/>
      <c r="KGO262" s="169"/>
      <c r="KGP262" s="169"/>
      <c r="KGQ262" s="169"/>
      <c r="KGR262" s="169"/>
      <c r="KGS262" s="169"/>
      <c r="KGT262" s="169"/>
      <c r="KGU262" s="169"/>
      <c r="KGV262" s="169"/>
      <c r="KGW262" s="169"/>
      <c r="KGX262" s="169"/>
      <c r="KGY262" s="169"/>
      <c r="KGZ262" s="169"/>
      <c r="KHA262" s="169"/>
      <c r="KHB262" s="169"/>
      <c r="KHC262" s="169"/>
      <c r="KHD262" s="169"/>
      <c r="KHE262" s="169"/>
      <c r="KHF262" s="169"/>
      <c r="KHG262" s="169"/>
      <c r="KHH262" s="169"/>
      <c r="KHI262" s="169"/>
      <c r="KHJ262" s="169"/>
      <c r="KHK262" s="169"/>
      <c r="KHL262" s="169"/>
      <c r="KHM262" s="169"/>
      <c r="KHN262" s="169"/>
      <c r="KHO262" s="169"/>
      <c r="KHP262" s="169"/>
      <c r="KHQ262" s="169"/>
      <c r="KHR262" s="169"/>
      <c r="KHS262" s="169"/>
      <c r="KHT262" s="169"/>
      <c r="KHU262" s="169"/>
      <c r="KHV262" s="169"/>
      <c r="KHW262" s="169"/>
      <c r="KHX262" s="169"/>
      <c r="KHY262" s="169"/>
      <c r="KHZ262" s="169"/>
      <c r="KIA262" s="169"/>
      <c r="KIB262" s="169"/>
      <c r="KIC262" s="169"/>
      <c r="KID262" s="169"/>
      <c r="KIE262" s="169"/>
      <c r="KIF262" s="169"/>
      <c r="KIG262" s="169"/>
      <c r="KIH262" s="169"/>
      <c r="KII262" s="169"/>
      <c r="KIJ262" s="169"/>
      <c r="KIK262" s="169"/>
      <c r="KIL262" s="169"/>
      <c r="KIM262" s="169"/>
      <c r="KIN262" s="169"/>
      <c r="KIO262" s="169"/>
      <c r="KIP262" s="169"/>
      <c r="KIQ262" s="169"/>
      <c r="KIR262" s="169"/>
      <c r="KIS262" s="169"/>
      <c r="KIT262" s="169"/>
      <c r="KIU262" s="169"/>
      <c r="KIV262" s="169"/>
      <c r="KIW262" s="169"/>
      <c r="KIX262" s="169"/>
      <c r="KIY262" s="169"/>
      <c r="KIZ262" s="169"/>
      <c r="KJA262" s="169"/>
      <c r="KJB262" s="169"/>
      <c r="KJC262" s="169"/>
      <c r="KJD262" s="169"/>
      <c r="KJE262" s="169"/>
      <c r="KJF262" s="169"/>
      <c r="KJG262" s="169"/>
      <c r="KJH262" s="169"/>
      <c r="KJI262" s="169"/>
      <c r="KJJ262" s="169"/>
      <c r="KJK262" s="169"/>
      <c r="KJL262" s="169"/>
      <c r="KJM262" s="169"/>
      <c r="KJN262" s="169"/>
      <c r="KJO262" s="169"/>
      <c r="KJP262" s="169"/>
      <c r="KJQ262" s="169"/>
      <c r="KJR262" s="169"/>
      <c r="KJS262" s="169"/>
      <c r="KJT262" s="169"/>
      <c r="KJU262" s="169"/>
      <c r="KJV262" s="169"/>
      <c r="KJW262" s="169"/>
      <c r="KJX262" s="169"/>
      <c r="KJY262" s="169"/>
      <c r="KJZ262" s="169"/>
      <c r="KKA262" s="169"/>
      <c r="KKB262" s="169"/>
      <c r="KKC262" s="169"/>
      <c r="KKD262" s="169"/>
      <c r="KKE262" s="169"/>
      <c r="KKF262" s="169"/>
      <c r="KKG262" s="169"/>
      <c r="KKH262" s="169"/>
      <c r="KKI262" s="169"/>
      <c r="KKJ262" s="169"/>
      <c r="KKK262" s="169"/>
      <c r="KKL262" s="169"/>
      <c r="KKM262" s="169"/>
      <c r="KKN262" s="169"/>
      <c r="KKO262" s="169"/>
      <c r="KKP262" s="169"/>
      <c r="KKQ262" s="169"/>
      <c r="KKR262" s="169"/>
      <c r="KKS262" s="169"/>
      <c r="KKT262" s="169"/>
      <c r="KKU262" s="169"/>
      <c r="KKV262" s="169"/>
      <c r="KKW262" s="169"/>
      <c r="KKX262" s="169"/>
      <c r="KKY262" s="169"/>
      <c r="KKZ262" s="169"/>
      <c r="KLA262" s="169"/>
      <c r="KLB262" s="169"/>
      <c r="KLC262" s="169"/>
      <c r="KLD262" s="169"/>
      <c r="KLE262" s="169"/>
      <c r="KLF262" s="169"/>
      <c r="KLG262" s="169"/>
      <c r="KLH262" s="169"/>
      <c r="KLI262" s="169"/>
      <c r="KLJ262" s="169"/>
      <c r="KLK262" s="169"/>
      <c r="KLL262" s="169"/>
      <c r="KLM262" s="169"/>
      <c r="KLN262" s="169"/>
      <c r="KLO262" s="169"/>
      <c r="KLP262" s="169"/>
      <c r="KLQ262" s="169"/>
      <c r="KLR262" s="169"/>
      <c r="KLS262" s="169"/>
      <c r="KLT262" s="169"/>
      <c r="KLU262" s="169"/>
      <c r="KLV262" s="169"/>
      <c r="KLW262" s="169"/>
      <c r="KLX262" s="169"/>
      <c r="KLY262" s="169"/>
      <c r="KLZ262" s="169"/>
      <c r="KMA262" s="169"/>
      <c r="KMB262" s="169"/>
      <c r="KMC262" s="169"/>
      <c r="KMD262" s="169"/>
      <c r="KME262" s="169"/>
      <c r="KMF262" s="169"/>
      <c r="KMG262" s="169"/>
      <c r="KMH262" s="169"/>
      <c r="KMI262" s="169"/>
      <c r="KMJ262" s="169"/>
      <c r="KMK262" s="169"/>
      <c r="KML262" s="169"/>
      <c r="KMM262" s="169"/>
      <c r="KMN262" s="169"/>
      <c r="KMO262" s="169"/>
      <c r="KMP262" s="169"/>
      <c r="KMQ262" s="169"/>
      <c r="KMR262" s="169"/>
      <c r="KMS262" s="169"/>
      <c r="KMT262" s="169"/>
      <c r="KMU262" s="169"/>
      <c r="KMV262" s="169"/>
      <c r="KMW262" s="169"/>
      <c r="KMX262" s="169"/>
      <c r="KMY262" s="169"/>
      <c r="KMZ262" s="169"/>
      <c r="KNA262" s="169"/>
      <c r="KNB262" s="169"/>
      <c r="KNC262" s="169"/>
      <c r="KND262" s="169"/>
      <c r="KNE262" s="169"/>
      <c r="KNF262" s="169"/>
      <c r="KNG262" s="169"/>
      <c r="KNH262" s="169"/>
      <c r="KNI262" s="169"/>
      <c r="KNJ262" s="169"/>
      <c r="KNK262" s="169"/>
      <c r="KNL262" s="169"/>
      <c r="KNM262" s="169"/>
      <c r="KNN262" s="169"/>
      <c r="KNO262" s="169"/>
      <c r="KNP262" s="169"/>
      <c r="KNQ262" s="169"/>
      <c r="KNR262" s="169"/>
      <c r="KNS262" s="169"/>
      <c r="KNT262" s="169"/>
      <c r="KNU262" s="169"/>
      <c r="KNV262" s="169"/>
      <c r="KNW262" s="169"/>
      <c r="KNX262" s="169"/>
      <c r="KNY262" s="169"/>
      <c r="KNZ262" s="169"/>
      <c r="KOA262" s="169"/>
      <c r="KOB262" s="169"/>
      <c r="KOC262" s="169"/>
      <c r="KOD262" s="169"/>
      <c r="KOE262" s="169"/>
      <c r="KOF262" s="169"/>
      <c r="KOG262" s="169"/>
      <c r="KOH262" s="169"/>
      <c r="KOI262" s="169"/>
      <c r="KOJ262" s="169"/>
      <c r="KOK262" s="169"/>
      <c r="KOL262" s="169"/>
      <c r="KOM262" s="169"/>
      <c r="KON262" s="169"/>
      <c r="KOO262" s="169"/>
      <c r="KOP262" s="169"/>
      <c r="KOQ262" s="169"/>
      <c r="KOR262" s="169"/>
      <c r="KOS262" s="169"/>
      <c r="KOT262" s="169"/>
      <c r="KOU262" s="169"/>
      <c r="KOV262" s="169"/>
      <c r="KOW262" s="169"/>
      <c r="KOX262" s="169"/>
      <c r="KOY262" s="169"/>
      <c r="KOZ262" s="169"/>
      <c r="KPA262" s="169"/>
      <c r="KPB262" s="169"/>
      <c r="KPC262" s="169"/>
      <c r="KPD262" s="169"/>
      <c r="KPE262" s="169"/>
      <c r="KPF262" s="169"/>
      <c r="KPG262" s="169"/>
      <c r="KPH262" s="169"/>
      <c r="KPI262" s="169"/>
      <c r="KPJ262" s="169"/>
      <c r="KPK262" s="169"/>
      <c r="KPL262" s="169"/>
      <c r="KPM262" s="169"/>
      <c r="KPN262" s="169"/>
      <c r="KPO262" s="169"/>
      <c r="KPP262" s="169"/>
      <c r="KPQ262" s="169"/>
      <c r="KPR262" s="169"/>
      <c r="KPS262" s="169"/>
      <c r="KPT262" s="169"/>
      <c r="KPU262" s="169"/>
      <c r="KPV262" s="169"/>
      <c r="KPW262" s="169"/>
      <c r="KPX262" s="169"/>
      <c r="KPY262" s="169"/>
      <c r="KPZ262" s="169"/>
      <c r="KQA262" s="169"/>
      <c r="KQB262" s="169"/>
      <c r="KQC262" s="169"/>
      <c r="KQD262" s="169"/>
      <c r="KQE262" s="169"/>
      <c r="KQF262" s="169"/>
      <c r="KQG262" s="169"/>
      <c r="KQH262" s="169"/>
      <c r="KQI262" s="169"/>
      <c r="KQJ262" s="169"/>
      <c r="KQK262" s="169"/>
      <c r="KQL262" s="169"/>
      <c r="KQM262" s="169"/>
      <c r="KQN262" s="169"/>
      <c r="KQO262" s="169"/>
      <c r="KQP262" s="169"/>
      <c r="KQQ262" s="169"/>
      <c r="KQR262" s="169"/>
      <c r="KQS262" s="169"/>
      <c r="KQT262" s="169"/>
      <c r="KQU262" s="169"/>
      <c r="KQV262" s="169"/>
      <c r="KQW262" s="169"/>
      <c r="KQX262" s="169"/>
      <c r="KQY262" s="169"/>
      <c r="KQZ262" s="169"/>
      <c r="KRA262" s="169"/>
      <c r="KRB262" s="169"/>
      <c r="KRC262" s="169"/>
      <c r="KRD262" s="169"/>
      <c r="KRE262" s="169"/>
      <c r="KRF262" s="169"/>
      <c r="KRG262" s="169"/>
      <c r="KRH262" s="169"/>
      <c r="KRI262" s="169"/>
      <c r="KRJ262" s="169"/>
      <c r="KRK262" s="169"/>
      <c r="KRL262" s="169"/>
      <c r="KRM262" s="169"/>
      <c r="KRN262" s="169"/>
      <c r="KRO262" s="169"/>
      <c r="KRP262" s="169"/>
      <c r="KRQ262" s="169"/>
      <c r="KRR262" s="169"/>
      <c r="KRS262" s="169"/>
      <c r="KRT262" s="169"/>
      <c r="KRU262" s="169"/>
      <c r="KRV262" s="169"/>
      <c r="KRW262" s="169"/>
      <c r="KRX262" s="169"/>
      <c r="KRY262" s="169"/>
      <c r="KRZ262" s="169"/>
      <c r="KSA262" s="169"/>
      <c r="KSB262" s="169"/>
      <c r="KSC262" s="169"/>
      <c r="KSD262" s="169"/>
      <c r="KSE262" s="169"/>
      <c r="KSF262" s="169"/>
      <c r="KSG262" s="169"/>
      <c r="KSH262" s="169"/>
      <c r="KSI262" s="169"/>
      <c r="KSJ262" s="169"/>
      <c r="KSK262" s="169"/>
      <c r="KSL262" s="169"/>
      <c r="KSM262" s="169"/>
      <c r="KSN262" s="169"/>
      <c r="KSO262" s="169"/>
      <c r="KSP262" s="169"/>
      <c r="KSQ262" s="169"/>
      <c r="KSR262" s="169"/>
      <c r="KSS262" s="169"/>
      <c r="KST262" s="169"/>
      <c r="KSU262" s="169"/>
      <c r="KSV262" s="169"/>
      <c r="KSW262" s="169"/>
      <c r="KSX262" s="169"/>
      <c r="KSY262" s="169"/>
      <c r="KSZ262" s="169"/>
      <c r="KTA262" s="169"/>
      <c r="KTB262" s="169"/>
      <c r="KTC262" s="169"/>
      <c r="KTD262" s="169"/>
      <c r="KTE262" s="169"/>
      <c r="KTF262" s="169"/>
      <c r="KTG262" s="169"/>
      <c r="KTH262" s="169"/>
      <c r="KTI262" s="169"/>
      <c r="KTJ262" s="169"/>
      <c r="KTK262" s="169"/>
      <c r="KTL262" s="169"/>
      <c r="KTM262" s="169"/>
      <c r="KTN262" s="169"/>
      <c r="KTO262" s="169"/>
      <c r="KTP262" s="169"/>
      <c r="KTQ262" s="169"/>
      <c r="KTR262" s="169"/>
      <c r="KTS262" s="169"/>
      <c r="KTT262" s="169"/>
      <c r="KTU262" s="169"/>
      <c r="KTV262" s="169"/>
      <c r="KTW262" s="169"/>
      <c r="KTX262" s="169"/>
      <c r="KTY262" s="169"/>
      <c r="KTZ262" s="169"/>
      <c r="KUA262" s="169"/>
      <c r="KUB262" s="169"/>
      <c r="KUC262" s="169"/>
      <c r="KUD262" s="169"/>
      <c r="KUE262" s="169"/>
      <c r="KUF262" s="169"/>
      <c r="KUG262" s="169"/>
      <c r="KUH262" s="169"/>
      <c r="KUI262" s="169"/>
      <c r="KUJ262" s="169"/>
      <c r="KUK262" s="169"/>
      <c r="KUL262" s="169"/>
      <c r="KUM262" s="169"/>
      <c r="KUN262" s="169"/>
      <c r="KUO262" s="169"/>
      <c r="KUP262" s="169"/>
      <c r="KUQ262" s="169"/>
      <c r="KUR262" s="169"/>
      <c r="KUS262" s="169"/>
      <c r="KUT262" s="169"/>
      <c r="KUU262" s="169"/>
      <c r="KUV262" s="169"/>
      <c r="KUW262" s="169"/>
      <c r="KUX262" s="169"/>
      <c r="KUY262" s="169"/>
      <c r="KUZ262" s="169"/>
      <c r="KVA262" s="169"/>
      <c r="KVB262" s="169"/>
      <c r="KVC262" s="169"/>
      <c r="KVD262" s="169"/>
      <c r="KVE262" s="169"/>
      <c r="KVF262" s="169"/>
      <c r="KVG262" s="169"/>
      <c r="KVH262" s="169"/>
      <c r="KVI262" s="169"/>
      <c r="KVJ262" s="169"/>
      <c r="KVK262" s="169"/>
      <c r="KVL262" s="169"/>
      <c r="KVM262" s="169"/>
      <c r="KVN262" s="169"/>
      <c r="KVO262" s="169"/>
      <c r="KVP262" s="169"/>
      <c r="KVQ262" s="169"/>
      <c r="KVR262" s="169"/>
      <c r="KVS262" s="169"/>
      <c r="KVT262" s="169"/>
      <c r="KVU262" s="169"/>
      <c r="KVV262" s="169"/>
      <c r="KVW262" s="169"/>
      <c r="KVX262" s="169"/>
      <c r="KVY262" s="169"/>
      <c r="KVZ262" s="169"/>
      <c r="KWA262" s="169"/>
      <c r="KWB262" s="169"/>
      <c r="KWC262" s="169"/>
      <c r="KWD262" s="169"/>
      <c r="KWE262" s="169"/>
      <c r="KWF262" s="169"/>
      <c r="KWG262" s="169"/>
      <c r="KWH262" s="169"/>
      <c r="KWI262" s="169"/>
      <c r="KWJ262" s="169"/>
      <c r="KWK262" s="169"/>
      <c r="KWL262" s="169"/>
      <c r="KWM262" s="169"/>
      <c r="KWN262" s="169"/>
      <c r="KWO262" s="169"/>
      <c r="KWP262" s="169"/>
      <c r="KWQ262" s="169"/>
      <c r="KWR262" s="169"/>
      <c r="KWS262" s="169"/>
      <c r="KWT262" s="169"/>
      <c r="KWU262" s="169"/>
      <c r="KWV262" s="169"/>
      <c r="KWW262" s="169"/>
      <c r="KWX262" s="169"/>
      <c r="KWY262" s="169"/>
      <c r="KWZ262" s="169"/>
      <c r="KXA262" s="169"/>
      <c r="KXB262" s="169"/>
      <c r="KXC262" s="169"/>
      <c r="KXD262" s="169"/>
      <c r="KXE262" s="169"/>
      <c r="KXF262" s="169"/>
      <c r="KXG262" s="169"/>
      <c r="KXH262" s="169"/>
      <c r="KXI262" s="169"/>
      <c r="KXJ262" s="169"/>
      <c r="KXK262" s="169"/>
      <c r="KXL262" s="169"/>
      <c r="KXM262" s="169"/>
      <c r="KXN262" s="169"/>
      <c r="KXO262" s="169"/>
      <c r="KXP262" s="169"/>
      <c r="KXQ262" s="169"/>
      <c r="KXR262" s="169"/>
      <c r="KXS262" s="169"/>
      <c r="KXT262" s="169"/>
      <c r="KXU262" s="169"/>
      <c r="KXV262" s="169"/>
      <c r="KXW262" s="169"/>
      <c r="KXX262" s="169"/>
      <c r="KXY262" s="169"/>
      <c r="KXZ262" s="169"/>
      <c r="KYA262" s="169"/>
      <c r="KYB262" s="169"/>
      <c r="KYC262" s="169"/>
      <c r="KYD262" s="169"/>
      <c r="KYE262" s="169"/>
      <c r="KYF262" s="169"/>
      <c r="KYG262" s="169"/>
      <c r="KYH262" s="169"/>
      <c r="KYI262" s="169"/>
      <c r="KYJ262" s="169"/>
      <c r="KYK262" s="169"/>
      <c r="KYL262" s="169"/>
      <c r="KYM262" s="169"/>
      <c r="KYN262" s="169"/>
      <c r="KYO262" s="169"/>
      <c r="KYP262" s="169"/>
      <c r="KYQ262" s="169"/>
      <c r="KYR262" s="169"/>
      <c r="KYS262" s="169"/>
      <c r="KYT262" s="169"/>
      <c r="KYU262" s="169"/>
      <c r="KYV262" s="169"/>
      <c r="KYW262" s="169"/>
      <c r="KYX262" s="169"/>
      <c r="KYY262" s="169"/>
      <c r="KYZ262" s="169"/>
      <c r="KZA262" s="169"/>
      <c r="KZB262" s="169"/>
      <c r="KZC262" s="169"/>
      <c r="KZD262" s="169"/>
      <c r="KZE262" s="169"/>
      <c r="KZF262" s="169"/>
      <c r="KZG262" s="169"/>
      <c r="KZH262" s="169"/>
      <c r="KZI262" s="169"/>
      <c r="KZJ262" s="169"/>
      <c r="KZK262" s="169"/>
      <c r="KZL262" s="169"/>
      <c r="KZM262" s="169"/>
      <c r="KZN262" s="169"/>
      <c r="KZO262" s="169"/>
      <c r="KZP262" s="169"/>
      <c r="KZQ262" s="169"/>
      <c r="KZR262" s="169"/>
      <c r="KZS262" s="169"/>
      <c r="KZT262" s="169"/>
      <c r="KZU262" s="169"/>
      <c r="KZV262" s="169"/>
      <c r="KZW262" s="169"/>
      <c r="KZX262" s="169"/>
      <c r="KZY262" s="169"/>
      <c r="KZZ262" s="169"/>
      <c r="LAA262" s="169"/>
      <c r="LAB262" s="169"/>
      <c r="LAC262" s="169"/>
      <c r="LAD262" s="169"/>
      <c r="LAE262" s="169"/>
      <c r="LAF262" s="169"/>
      <c r="LAG262" s="169"/>
      <c r="LAH262" s="169"/>
      <c r="LAI262" s="169"/>
      <c r="LAJ262" s="169"/>
      <c r="LAK262" s="169"/>
      <c r="LAL262" s="169"/>
      <c r="LAM262" s="169"/>
      <c r="LAN262" s="169"/>
      <c r="LAO262" s="169"/>
      <c r="LAP262" s="169"/>
      <c r="LAQ262" s="169"/>
      <c r="LAR262" s="169"/>
      <c r="LAS262" s="169"/>
      <c r="LAT262" s="169"/>
      <c r="LAU262" s="169"/>
      <c r="LAV262" s="169"/>
      <c r="LAW262" s="169"/>
      <c r="LAX262" s="169"/>
      <c r="LAY262" s="169"/>
      <c r="LAZ262" s="169"/>
      <c r="LBA262" s="169"/>
      <c r="LBB262" s="169"/>
      <c r="LBC262" s="169"/>
      <c r="LBD262" s="169"/>
      <c r="LBE262" s="169"/>
      <c r="LBF262" s="169"/>
      <c r="LBG262" s="169"/>
      <c r="LBH262" s="169"/>
      <c r="LBI262" s="169"/>
      <c r="LBJ262" s="169"/>
      <c r="LBK262" s="169"/>
      <c r="LBL262" s="169"/>
      <c r="LBM262" s="169"/>
      <c r="LBN262" s="169"/>
      <c r="LBO262" s="169"/>
      <c r="LBP262" s="169"/>
      <c r="LBQ262" s="169"/>
      <c r="LBR262" s="169"/>
      <c r="LBS262" s="169"/>
      <c r="LBT262" s="169"/>
      <c r="LBU262" s="169"/>
      <c r="LBV262" s="169"/>
      <c r="LBW262" s="169"/>
      <c r="LBX262" s="169"/>
      <c r="LBY262" s="169"/>
      <c r="LBZ262" s="169"/>
      <c r="LCA262" s="169"/>
      <c r="LCB262" s="169"/>
      <c r="LCC262" s="169"/>
      <c r="LCD262" s="169"/>
      <c r="LCE262" s="169"/>
      <c r="LCF262" s="169"/>
      <c r="LCG262" s="169"/>
      <c r="LCH262" s="169"/>
      <c r="LCI262" s="169"/>
      <c r="LCJ262" s="169"/>
      <c r="LCK262" s="169"/>
      <c r="LCL262" s="169"/>
      <c r="LCM262" s="169"/>
      <c r="LCN262" s="169"/>
      <c r="LCO262" s="169"/>
      <c r="LCP262" s="169"/>
      <c r="LCQ262" s="169"/>
      <c r="LCR262" s="169"/>
      <c r="LCS262" s="169"/>
      <c r="LCT262" s="169"/>
      <c r="LCU262" s="169"/>
      <c r="LCV262" s="169"/>
      <c r="LCW262" s="169"/>
      <c r="LCX262" s="169"/>
      <c r="LCY262" s="169"/>
      <c r="LCZ262" s="169"/>
      <c r="LDA262" s="169"/>
      <c r="LDB262" s="169"/>
      <c r="LDC262" s="169"/>
      <c r="LDD262" s="169"/>
      <c r="LDE262" s="169"/>
      <c r="LDF262" s="169"/>
      <c r="LDG262" s="169"/>
      <c r="LDH262" s="169"/>
      <c r="LDI262" s="169"/>
      <c r="LDJ262" s="169"/>
      <c r="LDK262" s="169"/>
      <c r="LDL262" s="169"/>
      <c r="LDM262" s="169"/>
      <c r="LDN262" s="169"/>
      <c r="LDO262" s="169"/>
      <c r="LDP262" s="169"/>
      <c r="LDQ262" s="169"/>
      <c r="LDR262" s="169"/>
      <c r="LDS262" s="169"/>
      <c r="LDT262" s="169"/>
      <c r="LDU262" s="169"/>
      <c r="LDV262" s="169"/>
      <c r="LDW262" s="169"/>
      <c r="LDX262" s="169"/>
      <c r="LDY262" s="169"/>
      <c r="LDZ262" s="169"/>
      <c r="LEA262" s="169"/>
      <c r="LEB262" s="169"/>
      <c r="LEC262" s="169"/>
      <c r="LED262" s="169"/>
      <c r="LEE262" s="169"/>
      <c r="LEF262" s="169"/>
      <c r="LEG262" s="169"/>
      <c r="LEH262" s="169"/>
      <c r="LEI262" s="169"/>
      <c r="LEJ262" s="169"/>
      <c r="LEK262" s="169"/>
      <c r="LEL262" s="169"/>
      <c r="LEM262" s="169"/>
      <c r="LEN262" s="169"/>
      <c r="LEO262" s="169"/>
      <c r="LEP262" s="169"/>
      <c r="LEQ262" s="169"/>
      <c r="LER262" s="169"/>
      <c r="LES262" s="169"/>
      <c r="LET262" s="169"/>
      <c r="LEU262" s="169"/>
      <c r="LEV262" s="169"/>
      <c r="LEW262" s="169"/>
      <c r="LEX262" s="169"/>
      <c r="LEY262" s="169"/>
      <c r="LEZ262" s="169"/>
      <c r="LFA262" s="169"/>
      <c r="LFB262" s="169"/>
      <c r="LFC262" s="169"/>
      <c r="LFD262" s="169"/>
      <c r="LFE262" s="169"/>
      <c r="LFF262" s="169"/>
      <c r="LFG262" s="169"/>
      <c r="LFH262" s="169"/>
      <c r="LFI262" s="169"/>
      <c r="LFJ262" s="169"/>
      <c r="LFK262" s="169"/>
      <c r="LFL262" s="169"/>
      <c r="LFM262" s="169"/>
      <c r="LFN262" s="169"/>
      <c r="LFO262" s="169"/>
      <c r="LFP262" s="169"/>
      <c r="LFQ262" s="169"/>
      <c r="LFR262" s="169"/>
      <c r="LFS262" s="169"/>
      <c r="LFT262" s="169"/>
      <c r="LFU262" s="169"/>
      <c r="LFV262" s="169"/>
      <c r="LFW262" s="169"/>
      <c r="LFX262" s="169"/>
      <c r="LFY262" s="169"/>
      <c r="LFZ262" s="169"/>
      <c r="LGA262" s="169"/>
      <c r="LGB262" s="169"/>
      <c r="LGC262" s="169"/>
      <c r="LGD262" s="169"/>
      <c r="LGE262" s="169"/>
      <c r="LGF262" s="169"/>
      <c r="LGG262" s="169"/>
      <c r="LGH262" s="169"/>
      <c r="LGI262" s="169"/>
      <c r="LGJ262" s="169"/>
      <c r="LGK262" s="169"/>
      <c r="LGL262" s="169"/>
      <c r="LGM262" s="169"/>
      <c r="LGN262" s="169"/>
      <c r="LGO262" s="169"/>
      <c r="LGP262" s="169"/>
      <c r="LGQ262" s="169"/>
      <c r="LGR262" s="169"/>
      <c r="LGS262" s="169"/>
      <c r="LGT262" s="169"/>
      <c r="LGU262" s="169"/>
      <c r="LGV262" s="169"/>
      <c r="LGW262" s="169"/>
      <c r="LGX262" s="169"/>
      <c r="LGY262" s="169"/>
      <c r="LGZ262" s="169"/>
      <c r="LHA262" s="169"/>
      <c r="LHB262" s="169"/>
      <c r="LHC262" s="169"/>
      <c r="LHD262" s="169"/>
      <c r="LHE262" s="169"/>
      <c r="LHF262" s="169"/>
      <c r="LHG262" s="169"/>
      <c r="LHH262" s="169"/>
      <c r="LHI262" s="169"/>
      <c r="LHJ262" s="169"/>
      <c r="LHK262" s="169"/>
      <c r="LHL262" s="169"/>
      <c r="LHM262" s="169"/>
      <c r="LHN262" s="169"/>
      <c r="LHO262" s="169"/>
      <c r="LHP262" s="169"/>
      <c r="LHQ262" s="169"/>
      <c r="LHR262" s="169"/>
      <c r="LHS262" s="169"/>
      <c r="LHT262" s="169"/>
      <c r="LHU262" s="169"/>
      <c r="LHV262" s="169"/>
      <c r="LHW262" s="169"/>
      <c r="LHX262" s="169"/>
      <c r="LHY262" s="169"/>
      <c r="LHZ262" s="169"/>
      <c r="LIA262" s="169"/>
      <c r="LIB262" s="169"/>
      <c r="LIC262" s="169"/>
      <c r="LID262" s="169"/>
      <c r="LIE262" s="169"/>
      <c r="LIF262" s="169"/>
      <c r="LIG262" s="169"/>
      <c r="LIH262" s="169"/>
      <c r="LII262" s="169"/>
      <c r="LIJ262" s="169"/>
      <c r="LIK262" s="169"/>
      <c r="LIL262" s="169"/>
      <c r="LIM262" s="169"/>
      <c r="LIN262" s="169"/>
      <c r="LIO262" s="169"/>
      <c r="LIP262" s="169"/>
      <c r="LIQ262" s="169"/>
      <c r="LIR262" s="169"/>
      <c r="LIS262" s="169"/>
      <c r="LIT262" s="169"/>
      <c r="LIU262" s="169"/>
      <c r="LIV262" s="169"/>
      <c r="LIW262" s="169"/>
      <c r="LIX262" s="169"/>
      <c r="LIY262" s="169"/>
      <c r="LIZ262" s="169"/>
      <c r="LJA262" s="169"/>
      <c r="LJB262" s="169"/>
      <c r="LJC262" s="169"/>
      <c r="LJD262" s="169"/>
      <c r="LJE262" s="169"/>
      <c r="LJF262" s="169"/>
      <c r="LJG262" s="169"/>
      <c r="LJH262" s="169"/>
      <c r="LJI262" s="169"/>
      <c r="LJJ262" s="169"/>
      <c r="LJK262" s="169"/>
      <c r="LJL262" s="169"/>
      <c r="LJM262" s="169"/>
      <c r="LJN262" s="169"/>
      <c r="LJO262" s="169"/>
      <c r="LJP262" s="169"/>
      <c r="LJQ262" s="169"/>
      <c r="LJR262" s="169"/>
      <c r="LJS262" s="169"/>
      <c r="LJT262" s="169"/>
      <c r="LJU262" s="169"/>
      <c r="LJV262" s="169"/>
      <c r="LJW262" s="169"/>
      <c r="LJX262" s="169"/>
      <c r="LJY262" s="169"/>
      <c r="LJZ262" s="169"/>
      <c r="LKA262" s="169"/>
      <c r="LKB262" s="169"/>
      <c r="LKC262" s="169"/>
      <c r="LKD262" s="169"/>
      <c r="LKE262" s="169"/>
      <c r="LKF262" s="169"/>
      <c r="LKG262" s="169"/>
      <c r="LKH262" s="169"/>
      <c r="LKI262" s="169"/>
      <c r="LKJ262" s="169"/>
      <c r="LKK262" s="169"/>
      <c r="LKL262" s="169"/>
      <c r="LKM262" s="169"/>
      <c r="LKN262" s="169"/>
      <c r="LKO262" s="169"/>
      <c r="LKP262" s="169"/>
      <c r="LKQ262" s="169"/>
      <c r="LKR262" s="169"/>
      <c r="LKS262" s="169"/>
      <c r="LKT262" s="169"/>
      <c r="LKU262" s="169"/>
      <c r="LKV262" s="169"/>
      <c r="LKW262" s="169"/>
      <c r="LKX262" s="169"/>
      <c r="LKY262" s="169"/>
      <c r="LKZ262" s="169"/>
      <c r="LLA262" s="169"/>
      <c r="LLB262" s="169"/>
      <c r="LLC262" s="169"/>
      <c r="LLD262" s="169"/>
      <c r="LLE262" s="169"/>
      <c r="LLF262" s="169"/>
      <c r="LLG262" s="169"/>
      <c r="LLH262" s="169"/>
      <c r="LLI262" s="169"/>
      <c r="LLJ262" s="169"/>
      <c r="LLK262" s="169"/>
      <c r="LLL262" s="169"/>
      <c r="LLM262" s="169"/>
      <c r="LLN262" s="169"/>
      <c r="LLO262" s="169"/>
      <c r="LLP262" s="169"/>
      <c r="LLQ262" s="169"/>
      <c r="LLR262" s="169"/>
      <c r="LLS262" s="169"/>
      <c r="LLT262" s="169"/>
      <c r="LLU262" s="169"/>
      <c r="LLV262" s="169"/>
      <c r="LLW262" s="169"/>
      <c r="LLX262" s="169"/>
      <c r="LLY262" s="169"/>
      <c r="LLZ262" s="169"/>
      <c r="LMA262" s="169"/>
      <c r="LMB262" s="169"/>
      <c r="LMC262" s="169"/>
      <c r="LMD262" s="169"/>
      <c r="LME262" s="169"/>
      <c r="LMF262" s="169"/>
      <c r="LMG262" s="169"/>
      <c r="LMH262" s="169"/>
      <c r="LMI262" s="169"/>
      <c r="LMJ262" s="169"/>
      <c r="LMK262" s="169"/>
      <c r="LML262" s="169"/>
      <c r="LMM262" s="169"/>
      <c r="LMN262" s="169"/>
      <c r="LMO262" s="169"/>
      <c r="LMP262" s="169"/>
      <c r="LMQ262" s="169"/>
      <c r="LMR262" s="169"/>
      <c r="LMS262" s="169"/>
      <c r="LMT262" s="169"/>
      <c r="LMU262" s="169"/>
      <c r="LMV262" s="169"/>
      <c r="LMW262" s="169"/>
      <c r="LMX262" s="169"/>
      <c r="LMY262" s="169"/>
      <c r="LMZ262" s="169"/>
      <c r="LNA262" s="169"/>
      <c r="LNB262" s="169"/>
      <c r="LNC262" s="169"/>
      <c r="LND262" s="169"/>
      <c r="LNE262" s="169"/>
      <c r="LNF262" s="169"/>
      <c r="LNG262" s="169"/>
      <c r="LNH262" s="169"/>
      <c r="LNI262" s="169"/>
      <c r="LNJ262" s="169"/>
      <c r="LNK262" s="169"/>
      <c r="LNL262" s="169"/>
      <c r="LNM262" s="169"/>
      <c r="LNN262" s="169"/>
      <c r="LNO262" s="169"/>
      <c r="LNP262" s="169"/>
      <c r="LNQ262" s="169"/>
      <c r="LNR262" s="169"/>
      <c r="LNS262" s="169"/>
      <c r="LNT262" s="169"/>
      <c r="LNU262" s="169"/>
      <c r="LNV262" s="169"/>
      <c r="LNW262" s="169"/>
      <c r="LNX262" s="169"/>
      <c r="LNY262" s="169"/>
      <c r="LNZ262" s="169"/>
      <c r="LOA262" s="169"/>
      <c r="LOB262" s="169"/>
      <c r="LOC262" s="169"/>
      <c r="LOD262" s="169"/>
      <c r="LOE262" s="169"/>
      <c r="LOF262" s="169"/>
      <c r="LOG262" s="169"/>
      <c r="LOH262" s="169"/>
      <c r="LOI262" s="169"/>
      <c r="LOJ262" s="169"/>
      <c r="LOK262" s="169"/>
      <c r="LOL262" s="169"/>
      <c r="LOM262" s="169"/>
      <c r="LON262" s="169"/>
      <c r="LOO262" s="169"/>
      <c r="LOP262" s="169"/>
      <c r="LOQ262" s="169"/>
      <c r="LOR262" s="169"/>
      <c r="LOS262" s="169"/>
      <c r="LOT262" s="169"/>
      <c r="LOU262" s="169"/>
      <c r="LOV262" s="169"/>
      <c r="LOW262" s="169"/>
      <c r="LOX262" s="169"/>
      <c r="LOY262" s="169"/>
      <c r="LOZ262" s="169"/>
      <c r="LPA262" s="169"/>
      <c r="LPB262" s="169"/>
      <c r="LPC262" s="169"/>
      <c r="LPD262" s="169"/>
      <c r="LPE262" s="169"/>
      <c r="LPF262" s="169"/>
      <c r="LPG262" s="169"/>
      <c r="LPH262" s="169"/>
      <c r="LPI262" s="169"/>
      <c r="LPJ262" s="169"/>
      <c r="LPK262" s="169"/>
      <c r="LPL262" s="169"/>
      <c r="LPM262" s="169"/>
      <c r="LPN262" s="169"/>
      <c r="LPO262" s="169"/>
      <c r="LPP262" s="169"/>
      <c r="LPQ262" s="169"/>
      <c r="LPR262" s="169"/>
      <c r="LPS262" s="169"/>
      <c r="LPT262" s="169"/>
      <c r="LPU262" s="169"/>
      <c r="LPV262" s="169"/>
      <c r="LPW262" s="169"/>
      <c r="LPX262" s="169"/>
      <c r="LPY262" s="169"/>
      <c r="LPZ262" s="169"/>
      <c r="LQA262" s="169"/>
      <c r="LQB262" s="169"/>
      <c r="LQC262" s="169"/>
      <c r="LQD262" s="169"/>
      <c r="LQE262" s="169"/>
      <c r="LQF262" s="169"/>
      <c r="LQG262" s="169"/>
      <c r="LQH262" s="169"/>
      <c r="LQI262" s="169"/>
      <c r="LQJ262" s="169"/>
      <c r="LQK262" s="169"/>
      <c r="LQL262" s="169"/>
      <c r="LQM262" s="169"/>
      <c r="LQN262" s="169"/>
      <c r="LQO262" s="169"/>
      <c r="LQP262" s="169"/>
      <c r="LQQ262" s="169"/>
      <c r="LQR262" s="169"/>
      <c r="LQS262" s="169"/>
      <c r="LQT262" s="169"/>
      <c r="LQU262" s="169"/>
      <c r="LQV262" s="169"/>
      <c r="LQW262" s="169"/>
      <c r="LQX262" s="169"/>
      <c r="LQY262" s="169"/>
      <c r="LQZ262" s="169"/>
      <c r="LRA262" s="169"/>
      <c r="LRB262" s="169"/>
      <c r="LRC262" s="169"/>
      <c r="LRD262" s="169"/>
      <c r="LRE262" s="169"/>
      <c r="LRF262" s="169"/>
      <c r="LRG262" s="169"/>
      <c r="LRH262" s="169"/>
      <c r="LRI262" s="169"/>
      <c r="LRJ262" s="169"/>
      <c r="LRK262" s="169"/>
      <c r="LRL262" s="169"/>
      <c r="LRM262" s="169"/>
      <c r="LRN262" s="169"/>
      <c r="LRO262" s="169"/>
      <c r="LRP262" s="169"/>
      <c r="LRQ262" s="169"/>
      <c r="LRR262" s="169"/>
      <c r="LRS262" s="169"/>
      <c r="LRT262" s="169"/>
      <c r="LRU262" s="169"/>
      <c r="LRV262" s="169"/>
      <c r="LRW262" s="169"/>
      <c r="LRX262" s="169"/>
      <c r="LRY262" s="169"/>
      <c r="LRZ262" s="169"/>
      <c r="LSA262" s="169"/>
      <c r="LSB262" s="169"/>
      <c r="LSC262" s="169"/>
      <c r="LSD262" s="169"/>
      <c r="LSE262" s="169"/>
      <c r="LSF262" s="169"/>
      <c r="LSG262" s="169"/>
      <c r="LSH262" s="169"/>
      <c r="LSI262" s="169"/>
      <c r="LSJ262" s="169"/>
      <c r="LSK262" s="169"/>
      <c r="LSL262" s="169"/>
      <c r="LSM262" s="169"/>
      <c r="LSN262" s="169"/>
      <c r="LSO262" s="169"/>
      <c r="LSP262" s="169"/>
      <c r="LSQ262" s="169"/>
      <c r="LSR262" s="169"/>
      <c r="LSS262" s="169"/>
      <c r="LST262" s="169"/>
      <c r="LSU262" s="169"/>
      <c r="LSV262" s="169"/>
      <c r="LSW262" s="169"/>
      <c r="LSX262" s="169"/>
      <c r="LSY262" s="169"/>
      <c r="LSZ262" s="169"/>
      <c r="LTA262" s="169"/>
      <c r="LTB262" s="169"/>
      <c r="LTC262" s="169"/>
      <c r="LTD262" s="169"/>
      <c r="LTE262" s="169"/>
      <c r="LTF262" s="169"/>
      <c r="LTG262" s="169"/>
      <c r="LTH262" s="169"/>
      <c r="LTI262" s="169"/>
      <c r="LTJ262" s="169"/>
      <c r="LTK262" s="169"/>
      <c r="LTL262" s="169"/>
      <c r="LTM262" s="169"/>
      <c r="LTN262" s="169"/>
      <c r="LTO262" s="169"/>
      <c r="LTP262" s="169"/>
      <c r="LTQ262" s="169"/>
      <c r="LTR262" s="169"/>
      <c r="LTS262" s="169"/>
      <c r="LTT262" s="169"/>
      <c r="LTU262" s="169"/>
      <c r="LTV262" s="169"/>
      <c r="LTW262" s="169"/>
      <c r="LTX262" s="169"/>
      <c r="LTY262" s="169"/>
      <c r="LTZ262" s="169"/>
      <c r="LUA262" s="169"/>
      <c r="LUB262" s="169"/>
      <c r="LUC262" s="169"/>
      <c r="LUD262" s="169"/>
      <c r="LUE262" s="169"/>
      <c r="LUF262" s="169"/>
      <c r="LUG262" s="169"/>
      <c r="LUH262" s="169"/>
      <c r="LUI262" s="169"/>
      <c r="LUJ262" s="169"/>
      <c r="LUK262" s="169"/>
      <c r="LUL262" s="169"/>
      <c r="LUM262" s="169"/>
      <c r="LUN262" s="169"/>
      <c r="LUO262" s="169"/>
      <c r="LUP262" s="169"/>
      <c r="LUQ262" s="169"/>
      <c r="LUR262" s="169"/>
      <c r="LUS262" s="169"/>
      <c r="LUT262" s="169"/>
      <c r="LUU262" s="169"/>
      <c r="LUV262" s="169"/>
      <c r="LUW262" s="169"/>
      <c r="LUX262" s="169"/>
      <c r="LUY262" s="169"/>
      <c r="LUZ262" s="169"/>
      <c r="LVA262" s="169"/>
      <c r="LVB262" s="169"/>
      <c r="LVC262" s="169"/>
      <c r="LVD262" s="169"/>
      <c r="LVE262" s="169"/>
      <c r="LVF262" s="169"/>
      <c r="LVG262" s="169"/>
      <c r="LVH262" s="169"/>
      <c r="LVI262" s="169"/>
      <c r="LVJ262" s="169"/>
      <c r="LVK262" s="169"/>
      <c r="LVL262" s="169"/>
      <c r="LVM262" s="169"/>
      <c r="LVN262" s="169"/>
      <c r="LVO262" s="169"/>
      <c r="LVP262" s="169"/>
      <c r="LVQ262" s="169"/>
      <c r="LVR262" s="169"/>
      <c r="LVS262" s="169"/>
      <c r="LVT262" s="169"/>
      <c r="LVU262" s="169"/>
      <c r="LVV262" s="169"/>
      <c r="LVW262" s="169"/>
      <c r="LVX262" s="169"/>
      <c r="LVY262" s="169"/>
      <c r="LVZ262" s="169"/>
      <c r="LWA262" s="169"/>
      <c r="LWB262" s="169"/>
      <c r="LWC262" s="169"/>
      <c r="LWD262" s="169"/>
      <c r="LWE262" s="169"/>
      <c r="LWF262" s="169"/>
      <c r="LWG262" s="169"/>
      <c r="LWH262" s="169"/>
      <c r="LWI262" s="169"/>
      <c r="LWJ262" s="169"/>
      <c r="LWK262" s="169"/>
      <c r="LWL262" s="169"/>
      <c r="LWM262" s="169"/>
      <c r="LWN262" s="169"/>
      <c r="LWO262" s="169"/>
      <c r="LWP262" s="169"/>
      <c r="LWQ262" s="169"/>
      <c r="LWR262" s="169"/>
      <c r="LWS262" s="169"/>
      <c r="LWT262" s="169"/>
      <c r="LWU262" s="169"/>
      <c r="LWV262" s="169"/>
      <c r="LWW262" s="169"/>
      <c r="LWX262" s="169"/>
      <c r="LWY262" s="169"/>
      <c r="LWZ262" s="169"/>
      <c r="LXA262" s="169"/>
      <c r="LXB262" s="169"/>
      <c r="LXC262" s="169"/>
      <c r="LXD262" s="169"/>
      <c r="LXE262" s="169"/>
      <c r="LXF262" s="169"/>
      <c r="LXG262" s="169"/>
      <c r="LXH262" s="169"/>
      <c r="LXI262" s="169"/>
      <c r="LXJ262" s="169"/>
      <c r="LXK262" s="169"/>
      <c r="LXL262" s="169"/>
      <c r="LXM262" s="169"/>
      <c r="LXN262" s="169"/>
      <c r="LXO262" s="169"/>
      <c r="LXP262" s="169"/>
      <c r="LXQ262" s="169"/>
      <c r="LXR262" s="169"/>
      <c r="LXS262" s="169"/>
      <c r="LXT262" s="169"/>
      <c r="LXU262" s="169"/>
      <c r="LXV262" s="169"/>
      <c r="LXW262" s="169"/>
      <c r="LXX262" s="169"/>
      <c r="LXY262" s="169"/>
      <c r="LXZ262" s="169"/>
      <c r="LYA262" s="169"/>
      <c r="LYB262" s="169"/>
      <c r="LYC262" s="169"/>
      <c r="LYD262" s="169"/>
      <c r="LYE262" s="169"/>
      <c r="LYF262" s="169"/>
      <c r="LYG262" s="169"/>
      <c r="LYH262" s="169"/>
      <c r="LYI262" s="169"/>
      <c r="LYJ262" s="169"/>
      <c r="LYK262" s="169"/>
      <c r="LYL262" s="169"/>
      <c r="LYM262" s="169"/>
      <c r="LYN262" s="169"/>
      <c r="LYO262" s="169"/>
      <c r="LYP262" s="169"/>
      <c r="LYQ262" s="169"/>
      <c r="LYR262" s="169"/>
      <c r="LYS262" s="169"/>
      <c r="LYT262" s="169"/>
      <c r="LYU262" s="169"/>
      <c r="LYV262" s="169"/>
      <c r="LYW262" s="169"/>
      <c r="LYX262" s="169"/>
      <c r="LYY262" s="169"/>
      <c r="LYZ262" s="169"/>
      <c r="LZA262" s="169"/>
      <c r="LZB262" s="169"/>
      <c r="LZC262" s="169"/>
      <c r="LZD262" s="169"/>
      <c r="LZE262" s="169"/>
      <c r="LZF262" s="169"/>
      <c r="LZG262" s="169"/>
      <c r="LZH262" s="169"/>
      <c r="LZI262" s="169"/>
      <c r="LZJ262" s="169"/>
      <c r="LZK262" s="169"/>
      <c r="LZL262" s="169"/>
      <c r="LZM262" s="169"/>
      <c r="LZN262" s="169"/>
      <c r="LZO262" s="169"/>
      <c r="LZP262" s="169"/>
      <c r="LZQ262" s="169"/>
      <c r="LZR262" s="169"/>
      <c r="LZS262" s="169"/>
      <c r="LZT262" s="169"/>
      <c r="LZU262" s="169"/>
      <c r="LZV262" s="169"/>
      <c r="LZW262" s="169"/>
      <c r="LZX262" s="169"/>
      <c r="LZY262" s="169"/>
      <c r="LZZ262" s="169"/>
      <c r="MAA262" s="169"/>
      <c r="MAB262" s="169"/>
      <c r="MAC262" s="169"/>
      <c r="MAD262" s="169"/>
      <c r="MAE262" s="169"/>
      <c r="MAF262" s="169"/>
      <c r="MAG262" s="169"/>
      <c r="MAH262" s="169"/>
      <c r="MAI262" s="169"/>
      <c r="MAJ262" s="169"/>
      <c r="MAK262" s="169"/>
      <c r="MAL262" s="169"/>
      <c r="MAM262" s="169"/>
      <c r="MAN262" s="169"/>
      <c r="MAO262" s="169"/>
      <c r="MAP262" s="169"/>
      <c r="MAQ262" s="169"/>
      <c r="MAR262" s="169"/>
      <c r="MAS262" s="169"/>
      <c r="MAT262" s="169"/>
      <c r="MAU262" s="169"/>
      <c r="MAV262" s="169"/>
      <c r="MAW262" s="169"/>
      <c r="MAX262" s="169"/>
      <c r="MAY262" s="169"/>
      <c r="MAZ262" s="169"/>
      <c r="MBA262" s="169"/>
      <c r="MBB262" s="169"/>
      <c r="MBC262" s="169"/>
      <c r="MBD262" s="169"/>
      <c r="MBE262" s="169"/>
      <c r="MBF262" s="169"/>
      <c r="MBG262" s="169"/>
      <c r="MBH262" s="169"/>
      <c r="MBI262" s="169"/>
      <c r="MBJ262" s="169"/>
      <c r="MBK262" s="169"/>
      <c r="MBL262" s="169"/>
      <c r="MBM262" s="169"/>
      <c r="MBN262" s="169"/>
      <c r="MBO262" s="169"/>
      <c r="MBP262" s="169"/>
      <c r="MBQ262" s="169"/>
      <c r="MBR262" s="169"/>
      <c r="MBS262" s="169"/>
      <c r="MBT262" s="169"/>
      <c r="MBU262" s="169"/>
      <c r="MBV262" s="169"/>
      <c r="MBW262" s="169"/>
      <c r="MBX262" s="169"/>
      <c r="MBY262" s="169"/>
      <c r="MBZ262" s="169"/>
      <c r="MCA262" s="169"/>
      <c r="MCB262" s="169"/>
      <c r="MCC262" s="169"/>
      <c r="MCD262" s="169"/>
      <c r="MCE262" s="169"/>
      <c r="MCF262" s="169"/>
      <c r="MCG262" s="169"/>
      <c r="MCH262" s="169"/>
      <c r="MCI262" s="169"/>
      <c r="MCJ262" s="169"/>
      <c r="MCK262" s="169"/>
      <c r="MCL262" s="169"/>
      <c r="MCM262" s="169"/>
      <c r="MCN262" s="169"/>
      <c r="MCO262" s="169"/>
      <c r="MCP262" s="169"/>
      <c r="MCQ262" s="169"/>
      <c r="MCR262" s="169"/>
      <c r="MCS262" s="169"/>
      <c r="MCT262" s="169"/>
      <c r="MCU262" s="169"/>
      <c r="MCV262" s="169"/>
      <c r="MCW262" s="169"/>
      <c r="MCX262" s="169"/>
      <c r="MCY262" s="169"/>
      <c r="MCZ262" s="169"/>
      <c r="MDA262" s="169"/>
      <c r="MDB262" s="169"/>
      <c r="MDC262" s="169"/>
      <c r="MDD262" s="169"/>
      <c r="MDE262" s="169"/>
      <c r="MDF262" s="169"/>
      <c r="MDG262" s="169"/>
      <c r="MDH262" s="169"/>
      <c r="MDI262" s="169"/>
      <c r="MDJ262" s="169"/>
      <c r="MDK262" s="169"/>
      <c r="MDL262" s="169"/>
      <c r="MDM262" s="169"/>
      <c r="MDN262" s="169"/>
      <c r="MDO262" s="169"/>
      <c r="MDP262" s="169"/>
      <c r="MDQ262" s="169"/>
      <c r="MDR262" s="169"/>
      <c r="MDS262" s="169"/>
      <c r="MDT262" s="169"/>
      <c r="MDU262" s="169"/>
      <c r="MDV262" s="169"/>
      <c r="MDW262" s="169"/>
      <c r="MDX262" s="169"/>
      <c r="MDY262" s="169"/>
      <c r="MDZ262" s="169"/>
      <c r="MEA262" s="169"/>
      <c r="MEB262" s="169"/>
      <c r="MEC262" s="169"/>
      <c r="MED262" s="169"/>
      <c r="MEE262" s="169"/>
      <c r="MEF262" s="169"/>
      <c r="MEG262" s="169"/>
      <c r="MEH262" s="169"/>
      <c r="MEI262" s="169"/>
      <c r="MEJ262" s="169"/>
      <c r="MEK262" s="169"/>
      <c r="MEL262" s="169"/>
      <c r="MEM262" s="169"/>
      <c r="MEN262" s="169"/>
      <c r="MEO262" s="169"/>
      <c r="MEP262" s="169"/>
      <c r="MEQ262" s="169"/>
      <c r="MER262" s="169"/>
      <c r="MES262" s="169"/>
      <c r="MET262" s="169"/>
      <c r="MEU262" s="169"/>
      <c r="MEV262" s="169"/>
      <c r="MEW262" s="169"/>
      <c r="MEX262" s="169"/>
      <c r="MEY262" s="169"/>
      <c r="MEZ262" s="169"/>
      <c r="MFA262" s="169"/>
      <c r="MFB262" s="169"/>
      <c r="MFC262" s="169"/>
      <c r="MFD262" s="169"/>
      <c r="MFE262" s="169"/>
      <c r="MFF262" s="169"/>
      <c r="MFG262" s="169"/>
      <c r="MFH262" s="169"/>
      <c r="MFI262" s="169"/>
      <c r="MFJ262" s="169"/>
      <c r="MFK262" s="169"/>
      <c r="MFL262" s="169"/>
      <c r="MFM262" s="169"/>
      <c r="MFN262" s="169"/>
      <c r="MFO262" s="169"/>
      <c r="MFP262" s="169"/>
      <c r="MFQ262" s="169"/>
      <c r="MFR262" s="169"/>
      <c r="MFS262" s="169"/>
      <c r="MFT262" s="169"/>
      <c r="MFU262" s="169"/>
      <c r="MFV262" s="169"/>
      <c r="MFW262" s="169"/>
      <c r="MFX262" s="169"/>
      <c r="MFY262" s="169"/>
      <c r="MFZ262" s="169"/>
      <c r="MGA262" s="169"/>
      <c r="MGB262" s="169"/>
      <c r="MGC262" s="169"/>
      <c r="MGD262" s="169"/>
      <c r="MGE262" s="169"/>
      <c r="MGF262" s="169"/>
      <c r="MGG262" s="169"/>
      <c r="MGH262" s="169"/>
      <c r="MGI262" s="169"/>
      <c r="MGJ262" s="169"/>
      <c r="MGK262" s="169"/>
      <c r="MGL262" s="169"/>
      <c r="MGM262" s="169"/>
      <c r="MGN262" s="169"/>
      <c r="MGO262" s="169"/>
      <c r="MGP262" s="169"/>
      <c r="MGQ262" s="169"/>
      <c r="MGR262" s="169"/>
      <c r="MGS262" s="169"/>
      <c r="MGT262" s="169"/>
      <c r="MGU262" s="169"/>
      <c r="MGV262" s="169"/>
      <c r="MGW262" s="169"/>
      <c r="MGX262" s="169"/>
      <c r="MGY262" s="169"/>
      <c r="MGZ262" s="169"/>
      <c r="MHA262" s="169"/>
      <c r="MHB262" s="169"/>
      <c r="MHC262" s="169"/>
      <c r="MHD262" s="169"/>
      <c r="MHE262" s="169"/>
      <c r="MHF262" s="169"/>
      <c r="MHG262" s="169"/>
      <c r="MHH262" s="169"/>
      <c r="MHI262" s="169"/>
      <c r="MHJ262" s="169"/>
      <c r="MHK262" s="169"/>
      <c r="MHL262" s="169"/>
      <c r="MHM262" s="169"/>
      <c r="MHN262" s="169"/>
      <c r="MHO262" s="169"/>
      <c r="MHP262" s="169"/>
      <c r="MHQ262" s="169"/>
      <c r="MHR262" s="169"/>
      <c r="MHS262" s="169"/>
      <c r="MHT262" s="169"/>
      <c r="MHU262" s="169"/>
      <c r="MHV262" s="169"/>
      <c r="MHW262" s="169"/>
      <c r="MHX262" s="169"/>
      <c r="MHY262" s="169"/>
      <c r="MHZ262" s="169"/>
      <c r="MIA262" s="169"/>
      <c r="MIB262" s="169"/>
      <c r="MIC262" s="169"/>
      <c r="MID262" s="169"/>
      <c r="MIE262" s="169"/>
      <c r="MIF262" s="169"/>
      <c r="MIG262" s="169"/>
      <c r="MIH262" s="169"/>
      <c r="MII262" s="169"/>
      <c r="MIJ262" s="169"/>
      <c r="MIK262" s="169"/>
      <c r="MIL262" s="169"/>
      <c r="MIM262" s="169"/>
      <c r="MIN262" s="169"/>
      <c r="MIO262" s="169"/>
      <c r="MIP262" s="169"/>
      <c r="MIQ262" s="169"/>
      <c r="MIR262" s="169"/>
      <c r="MIS262" s="169"/>
      <c r="MIT262" s="169"/>
      <c r="MIU262" s="169"/>
      <c r="MIV262" s="169"/>
      <c r="MIW262" s="169"/>
      <c r="MIX262" s="169"/>
      <c r="MIY262" s="169"/>
      <c r="MIZ262" s="169"/>
      <c r="MJA262" s="169"/>
      <c r="MJB262" s="169"/>
      <c r="MJC262" s="169"/>
      <c r="MJD262" s="169"/>
      <c r="MJE262" s="169"/>
      <c r="MJF262" s="169"/>
      <c r="MJG262" s="169"/>
      <c r="MJH262" s="169"/>
      <c r="MJI262" s="169"/>
      <c r="MJJ262" s="169"/>
      <c r="MJK262" s="169"/>
      <c r="MJL262" s="169"/>
      <c r="MJM262" s="169"/>
      <c r="MJN262" s="169"/>
      <c r="MJO262" s="169"/>
      <c r="MJP262" s="169"/>
      <c r="MJQ262" s="169"/>
      <c r="MJR262" s="169"/>
      <c r="MJS262" s="169"/>
      <c r="MJT262" s="169"/>
      <c r="MJU262" s="169"/>
      <c r="MJV262" s="169"/>
      <c r="MJW262" s="169"/>
      <c r="MJX262" s="169"/>
      <c r="MJY262" s="169"/>
      <c r="MJZ262" s="169"/>
      <c r="MKA262" s="169"/>
      <c r="MKB262" s="169"/>
      <c r="MKC262" s="169"/>
      <c r="MKD262" s="169"/>
      <c r="MKE262" s="169"/>
      <c r="MKF262" s="169"/>
      <c r="MKG262" s="169"/>
      <c r="MKH262" s="169"/>
      <c r="MKI262" s="169"/>
      <c r="MKJ262" s="169"/>
      <c r="MKK262" s="169"/>
      <c r="MKL262" s="169"/>
      <c r="MKM262" s="169"/>
      <c r="MKN262" s="169"/>
      <c r="MKO262" s="169"/>
      <c r="MKP262" s="169"/>
      <c r="MKQ262" s="169"/>
      <c r="MKR262" s="169"/>
      <c r="MKS262" s="169"/>
      <c r="MKT262" s="169"/>
      <c r="MKU262" s="169"/>
      <c r="MKV262" s="169"/>
      <c r="MKW262" s="169"/>
      <c r="MKX262" s="169"/>
      <c r="MKY262" s="169"/>
      <c r="MKZ262" s="169"/>
      <c r="MLA262" s="169"/>
      <c r="MLB262" s="169"/>
      <c r="MLC262" s="169"/>
      <c r="MLD262" s="169"/>
      <c r="MLE262" s="169"/>
      <c r="MLF262" s="169"/>
      <c r="MLG262" s="169"/>
      <c r="MLH262" s="169"/>
      <c r="MLI262" s="169"/>
      <c r="MLJ262" s="169"/>
      <c r="MLK262" s="169"/>
      <c r="MLL262" s="169"/>
      <c r="MLM262" s="169"/>
      <c r="MLN262" s="169"/>
      <c r="MLO262" s="169"/>
      <c r="MLP262" s="169"/>
      <c r="MLQ262" s="169"/>
      <c r="MLR262" s="169"/>
      <c r="MLS262" s="169"/>
      <c r="MLT262" s="169"/>
      <c r="MLU262" s="169"/>
      <c r="MLV262" s="169"/>
      <c r="MLW262" s="169"/>
      <c r="MLX262" s="169"/>
      <c r="MLY262" s="169"/>
      <c r="MLZ262" s="169"/>
      <c r="MMA262" s="169"/>
      <c r="MMB262" s="169"/>
      <c r="MMC262" s="169"/>
      <c r="MMD262" s="169"/>
      <c r="MME262" s="169"/>
      <c r="MMF262" s="169"/>
      <c r="MMG262" s="169"/>
      <c r="MMH262" s="169"/>
      <c r="MMI262" s="169"/>
      <c r="MMJ262" s="169"/>
      <c r="MMK262" s="169"/>
      <c r="MML262" s="169"/>
      <c r="MMM262" s="169"/>
      <c r="MMN262" s="169"/>
      <c r="MMO262" s="169"/>
      <c r="MMP262" s="169"/>
      <c r="MMQ262" s="169"/>
      <c r="MMR262" s="169"/>
      <c r="MMS262" s="169"/>
      <c r="MMT262" s="169"/>
      <c r="MMU262" s="169"/>
      <c r="MMV262" s="169"/>
      <c r="MMW262" s="169"/>
      <c r="MMX262" s="169"/>
      <c r="MMY262" s="169"/>
      <c r="MMZ262" s="169"/>
      <c r="MNA262" s="169"/>
      <c r="MNB262" s="169"/>
      <c r="MNC262" s="169"/>
      <c r="MND262" s="169"/>
      <c r="MNE262" s="169"/>
      <c r="MNF262" s="169"/>
      <c r="MNG262" s="169"/>
      <c r="MNH262" s="169"/>
      <c r="MNI262" s="169"/>
      <c r="MNJ262" s="169"/>
      <c r="MNK262" s="169"/>
      <c r="MNL262" s="169"/>
      <c r="MNM262" s="169"/>
      <c r="MNN262" s="169"/>
      <c r="MNO262" s="169"/>
      <c r="MNP262" s="169"/>
      <c r="MNQ262" s="169"/>
      <c r="MNR262" s="169"/>
      <c r="MNS262" s="169"/>
      <c r="MNT262" s="169"/>
      <c r="MNU262" s="169"/>
      <c r="MNV262" s="169"/>
      <c r="MNW262" s="169"/>
      <c r="MNX262" s="169"/>
      <c r="MNY262" s="169"/>
      <c r="MNZ262" s="169"/>
      <c r="MOA262" s="169"/>
      <c r="MOB262" s="169"/>
      <c r="MOC262" s="169"/>
      <c r="MOD262" s="169"/>
      <c r="MOE262" s="169"/>
      <c r="MOF262" s="169"/>
      <c r="MOG262" s="169"/>
      <c r="MOH262" s="169"/>
      <c r="MOI262" s="169"/>
      <c r="MOJ262" s="169"/>
      <c r="MOK262" s="169"/>
      <c r="MOL262" s="169"/>
      <c r="MOM262" s="169"/>
      <c r="MON262" s="169"/>
      <c r="MOO262" s="169"/>
      <c r="MOP262" s="169"/>
      <c r="MOQ262" s="169"/>
      <c r="MOR262" s="169"/>
      <c r="MOS262" s="169"/>
      <c r="MOT262" s="169"/>
      <c r="MOU262" s="169"/>
      <c r="MOV262" s="169"/>
      <c r="MOW262" s="169"/>
      <c r="MOX262" s="169"/>
      <c r="MOY262" s="169"/>
      <c r="MOZ262" s="169"/>
      <c r="MPA262" s="169"/>
      <c r="MPB262" s="169"/>
      <c r="MPC262" s="169"/>
      <c r="MPD262" s="169"/>
      <c r="MPE262" s="169"/>
      <c r="MPF262" s="169"/>
      <c r="MPG262" s="169"/>
      <c r="MPH262" s="169"/>
      <c r="MPI262" s="169"/>
      <c r="MPJ262" s="169"/>
      <c r="MPK262" s="169"/>
      <c r="MPL262" s="169"/>
      <c r="MPM262" s="169"/>
      <c r="MPN262" s="169"/>
      <c r="MPO262" s="169"/>
      <c r="MPP262" s="169"/>
      <c r="MPQ262" s="169"/>
      <c r="MPR262" s="169"/>
      <c r="MPS262" s="169"/>
      <c r="MPT262" s="169"/>
      <c r="MPU262" s="169"/>
      <c r="MPV262" s="169"/>
      <c r="MPW262" s="169"/>
      <c r="MPX262" s="169"/>
      <c r="MPY262" s="169"/>
      <c r="MPZ262" s="169"/>
      <c r="MQA262" s="169"/>
      <c r="MQB262" s="169"/>
      <c r="MQC262" s="169"/>
      <c r="MQD262" s="169"/>
      <c r="MQE262" s="169"/>
      <c r="MQF262" s="169"/>
      <c r="MQG262" s="169"/>
      <c r="MQH262" s="169"/>
      <c r="MQI262" s="169"/>
      <c r="MQJ262" s="169"/>
      <c r="MQK262" s="169"/>
      <c r="MQL262" s="169"/>
      <c r="MQM262" s="169"/>
      <c r="MQN262" s="169"/>
      <c r="MQO262" s="169"/>
      <c r="MQP262" s="169"/>
      <c r="MQQ262" s="169"/>
      <c r="MQR262" s="169"/>
      <c r="MQS262" s="169"/>
      <c r="MQT262" s="169"/>
      <c r="MQU262" s="169"/>
      <c r="MQV262" s="169"/>
      <c r="MQW262" s="169"/>
      <c r="MQX262" s="169"/>
      <c r="MQY262" s="169"/>
      <c r="MQZ262" s="169"/>
      <c r="MRA262" s="169"/>
      <c r="MRB262" s="169"/>
      <c r="MRC262" s="169"/>
      <c r="MRD262" s="169"/>
      <c r="MRE262" s="169"/>
      <c r="MRF262" s="169"/>
      <c r="MRG262" s="169"/>
      <c r="MRH262" s="169"/>
      <c r="MRI262" s="169"/>
      <c r="MRJ262" s="169"/>
      <c r="MRK262" s="169"/>
      <c r="MRL262" s="169"/>
      <c r="MRM262" s="169"/>
      <c r="MRN262" s="169"/>
      <c r="MRO262" s="169"/>
      <c r="MRP262" s="169"/>
      <c r="MRQ262" s="169"/>
      <c r="MRR262" s="169"/>
      <c r="MRS262" s="169"/>
      <c r="MRT262" s="169"/>
      <c r="MRU262" s="169"/>
      <c r="MRV262" s="169"/>
      <c r="MRW262" s="169"/>
      <c r="MRX262" s="169"/>
      <c r="MRY262" s="169"/>
      <c r="MRZ262" s="169"/>
      <c r="MSA262" s="169"/>
      <c r="MSB262" s="169"/>
      <c r="MSC262" s="169"/>
      <c r="MSD262" s="169"/>
      <c r="MSE262" s="169"/>
      <c r="MSF262" s="169"/>
      <c r="MSG262" s="169"/>
      <c r="MSH262" s="169"/>
      <c r="MSI262" s="169"/>
      <c r="MSJ262" s="169"/>
      <c r="MSK262" s="169"/>
      <c r="MSL262" s="169"/>
      <c r="MSM262" s="169"/>
      <c r="MSN262" s="169"/>
      <c r="MSO262" s="169"/>
      <c r="MSP262" s="169"/>
      <c r="MSQ262" s="169"/>
      <c r="MSR262" s="169"/>
      <c r="MSS262" s="169"/>
      <c r="MST262" s="169"/>
      <c r="MSU262" s="169"/>
      <c r="MSV262" s="169"/>
      <c r="MSW262" s="169"/>
      <c r="MSX262" s="169"/>
      <c r="MSY262" s="169"/>
      <c r="MSZ262" s="169"/>
      <c r="MTA262" s="169"/>
      <c r="MTB262" s="169"/>
      <c r="MTC262" s="169"/>
      <c r="MTD262" s="169"/>
      <c r="MTE262" s="169"/>
      <c r="MTF262" s="169"/>
      <c r="MTG262" s="169"/>
      <c r="MTH262" s="169"/>
      <c r="MTI262" s="169"/>
      <c r="MTJ262" s="169"/>
      <c r="MTK262" s="169"/>
      <c r="MTL262" s="169"/>
      <c r="MTM262" s="169"/>
      <c r="MTN262" s="169"/>
      <c r="MTO262" s="169"/>
      <c r="MTP262" s="169"/>
      <c r="MTQ262" s="169"/>
      <c r="MTR262" s="169"/>
      <c r="MTS262" s="169"/>
      <c r="MTT262" s="169"/>
      <c r="MTU262" s="169"/>
      <c r="MTV262" s="169"/>
      <c r="MTW262" s="169"/>
      <c r="MTX262" s="169"/>
      <c r="MTY262" s="169"/>
      <c r="MTZ262" s="169"/>
      <c r="MUA262" s="169"/>
      <c r="MUB262" s="169"/>
      <c r="MUC262" s="169"/>
      <c r="MUD262" s="169"/>
      <c r="MUE262" s="169"/>
      <c r="MUF262" s="169"/>
      <c r="MUG262" s="169"/>
      <c r="MUH262" s="169"/>
      <c r="MUI262" s="169"/>
      <c r="MUJ262" s="169"/>
      <c r="MUK262" s="169"/>
      <c r="MUL262" s="169"/>
      <c r="MUM262" s="169"/>
      <c r="MUN262" s="169"/>
      <c r="MUO262" s="169"/>
      <c r="MUP262" s="169"/>
      <c r="MUQ262" s="169"/>
      <c r="MUR262" s="169"/>
      <c r="MUS262" s="169"/>
      <c r="MUT262" s="169"/>
      <c r="MUU262" s="169"/>
      <c r="MUV262" s="169"/>
      <c r="MUW262" s="169"/>
      <c r="MUX262" s="169"/>
      <c r="MUY262" s="169"/>
      <c r="MUZ262" s="169"/>
      <c r="MVA262" s="169"/>
      <c r="MVB262" s="169"/>
      <c r="MVC262" s="169"/>
      <c r="MVD262" s="169"/>
      <c r="MVE262" s="169"/>
      <c r="MVF262" s="169"/>
      <c r="MVG262" s="169"/>
      <c r="MVH262" s="169"/>
      <c r="MVI262" s="169"/>
      <c r="MVJ262" s="169"/>
      <c r="MVK262" s="169"/>
      <c r="MVL262" s="169"/>
      <c r="MVM262" s="169"/>
      <c r="MVN262" s="169"/>
      <c r="MVO262" s="169"/>
      <c r="MVP262" s="169"/>
      <c r="MVQ262" s="169"/>
      <c r="MVR262" s="169"/>
      <c r="MVS262" s="169"/>
      <c r="MVT262" s="169"/>
      <c r="MVU262" s="169"/>
      <c r="MVV262" s="169"/>
      <c r="MVW262" s="169"/>
      <c r="MVX262" s="169"/>
      <c r="MVY262" s="169"/>
      <c r="MVZ262" s="169"/>
      <c r="MWA262" s="169"/>
      <c r="MWB262" s="169"/>
      <c r="MWC262" s="169"/>
      <c r="MWD262" s="169"/>
      <c r="MWE262" s="169"/>
      <c r="MWF262" s="169"/>
      <c r="MWG262" s="169"/>
      <c r="MWH262" s="169"/>
      <c r="MWI262" s="169"/>
      <c r="MWJ262" s="169"/>
      <c r="MWK262" s="169"/>
      <c r="MWL262" s="169"/>
      <c r="MWM262" s="169"/>
      <c r="MWN262" s="169"/>
      <c r="MWO262" s="169"/>
      <c r="MWP262" s="169"/>
      <c r="MWQ262" s="169"/>
      <c r="MWR262" s="169"/>
      <c r="MWS262" s="169"/>
      <c r="MWT262" s="169"/>
      <c r="MWU262" s="169"/>
      <c r="MWV262" s="169"/>
      <c r="MWW262" s="169"/>
      <c r="MWX262" s="169"/>
      <c r="MWY262" s="169"/>
      <c r="MWZ262" s="169"/>
      <c r="MXA262" s="169"/>
      <c r="MXB262" s="169"/>
      <c r="MXC262" s="169"/>
      <c r="MXD262" s="169"/>
      <c r="MXE262" s="169"/>
      <c r="MXF262" s="169"/>
      <c r="MXG262" s="169"/>
      <c r="MXH262" s="169"/>
      <c r="MXI262" s="169"/>
      <c r="MXJ262" s="169"/>
      <c r="MXK262" s="169"/>
      <c r="MXL262" s="169"/>
      <c r="MXM262" s="169"/>
      <c r="MXN262" s="169"/>
      <c r="MXO262" s="169"/>
      <c r="MXP262" s="169"/>
      <c r="MXQ262" s="169"/>
      <c r="MXR262" s="169"/>
      <c r="MXS262" s="169"/>
      <c r="MXT262" s="169"/>
      <c r="MXU262" s="169"/>
      <c r="MXV262" s="169"/>
      <c r="MXW262" s="169"/>
      <c r="MXX262" s="169"/>
      <c r="MXY262" s="169"/>
      <c r="MXZ262" s="169"/>
      <c r="MYA262" s="169"/>
      <c r="MYB262" s="169"/>
      <c r="MYC262" s="169"/>
      <c r="MYD262" s="169"/>
      <c r="MYE262" s="169"/>
      <c r="MYF262" s="169"/>
      <c r="MYG262" s="169"/>
      <c r="MYH262" s="169"/>
      <c r="MYI262" s="169"/>
      <c r="MYJ262" s="169"/>
      <c r="MYK262" s="169"/>
      <c r="MYL262" s="169"/>
      <c r="MYM262" s="169"/>
      <c r="MYN262" s="169"/>
      <c r="MYO262" s="169"/>
      <c r="MYP262" s="169"/>
      <c r="MYQ262" s="169"/>
      <c r="MYR262" s="169"/>
      <c r="MYS262" s="169"/>
      <c r="MYT262" s="169"/>
      <c r="MYU262" s="169"/>
      <c r="MYV262" s="169"/>
      <c r="MYW262" s="169"/>
      <c r="MYX262" s="169"/>
      <c r="MYY262" s="169"/>
      <c r="MYZ262" s="169"/>
      <c r="MZA262" s="169"/>
      <c r="MZB262" s="169"/>
      <c r="MZC262" s="169"/>
      <c r="MZD262" s="169"/>
      <c r="MZE262" s="169"/>
      <c r="MZF262" s="169"/>
      <c r="MZG262" s="169"/>
      <c r="MZH262" s="169"/>
      <c r="MZI262" s="169"/>
      <c r="MZJ262" s="169"/>
      <c r="MZK262" s="169"/>
      <c r="MZL262" s="169"/>
      <c r="MZM262" s="169"/>
      <c r="MZN262" s="169"/>
      <c r="MZO262" s="169"/>
      <c r="MZP262" s="169"/>
      <c r="MZQ262" s="169"/>
      <c r="MZR262" s="169"/>
      <c r="MZS262" s="169"/>
      <c r="MZT262" s="169"/>
      <c r="MZU262" s="169"/>
      <c r="MZV262" s="169"/>
      <c r="MZW262" s="169"/>
      <c r="MZX262" s="169"/>
      <c r="MZY262" s="169"/>
      <c r="MZZ262" s="169"/>
      <c r="NAA262" s="169"/>
      <c r="NAB262" s="169"/>
      <c r="NAC262" s="169"/>
      <c r="NAD262" s="169"/>
      <c r="NAE262" s="169"/>
      <c r="NAF262" s="169"/>
      <c r="NAG262" s="169"/>
      <c r="NAH262" s="169"/>
      <c r="NAI262" s="169"/>
      <c r="NAJ262" s="169"/>
      <c r="NAK262" s="169"/>
      <c r="NAL262" s="169"/>
      <c r="NAM262" s="169"/>
      <c r="NAN262" s="169"/>
      <c r="NAO262" s="169"/>
      <c r="NAP262" s="169"/>
      <c r="NAQ262" s="169"/>
      <c r="NAR262" s="169"/>
      <c r="NAS262" s="169"/>
      <c r="NAT262" s="169"/>
      <c r="NAU262" s="169"/>
      <c r="NAV262" s="169"/>
      <c r="NAW262" s="169"/>
      <c r="NAX262" s="169"/>
      <c r="NAY262" s="169"/>
      <c r="NAZ262" s="169"/>
      <c r="NBA262" s="169"/>
      <c r="NBB262" s="169"/>
      <c r="NBC262" s="169"/>
      <c r="NBD262" s="169"/>
      <c r="NBE262" s="169"/>
      <c r="NBF262" s="169"/>
      <c r="NBG262" s="169"/>
      <c r="NBH262" s="169"/>
      <c r="NBI262" s="169"/>
      <c r="NBJ262" s="169"/>
      <c r="NBK262" s="169"/>
      <c r="NBL262" s="169"/>
      <c r="NBM262" s="169"/>
      <c r="NBN262" s="169"/>
      <c r="NBO262" s="169"/>
      <c r="NBP262" s="169"/>
      <c r="NBQ262" s="169"/>
      <c r="NBR262" s="169"/>
      <c r="NBS262" s="169"/>
      <c r="NBT262" s="169"/>
      <c r="NBU262" s="169"/>
      <c r="NBV262" s="169"/>
      <c r="NBW262" s="169"/>
      <c r="NBX262" s="169"/>
      <c r="NBY262" s="169"/>
      <c r="NBZ262" s="169"/>
      <c r="NCA262" s="169"/>
      <c r="NCB262" s="169"/>
      <c r="NCC262" s="169"/>
      <c r="NCD262" s="169"/>
      <c r="NCE262" s="169"/>
      <c r="NCF262" s="169"/>
      <c r="NCG262" s="169"/>
      <c r="NCH262" s="169"/>
      <c r="NCI262" s="169"/>
      <c r="NCJ262" s="169"/>
      <c r="NCK262" s="169"/>
      <c r="NCL262" s="169"/>
      <c r="NCM262" s="169"/>
      <c r="NCN262" s="169"/>
      <c r="NCO262" s="169"/>
      <c r="NCP262" s="169"/>
      <c r="NCQ262" s="169"/>
      <c r="NCR262" s="169"/>
      <c r="NCS262" s="169"/>
      <c r="NCT262" s="169"/>
      <c r="NCU262" s="169"/>
      <c r="NCV262" s="169"/>
      <c r="NCW262" s="169"/>
      <c r="NCX262" s="169"/>
      <c r="NCY262" s="169"/>
      <c r="NCZ262" s="169"/>
      <c r="NDA262" s="169"/>
      <c r="NDB262" s="169"/>
      <c r="NDC262" s="169"/>
      <c r="NDD262" s="169"/>
      <c r="NDE262" s="169"/>
      <c r="NDF262" s="169"/>
      <c r="NDG262" s="169"/>
      <c r="NDH262" s="169"/>
      <c r="NDI262" s="169"/>
      <c r="NDJ262" s="169"/>
      <c r="NDK262" s="169"/>
      <c r="NDL262" s="169"/>
      <c r="NDM262" s="169"/>
      <c r="NDN262" s="169"/>
      <c r="NDO262" s="169"/>
      <c r="NDP262" s="169"/>
      <c r="NDQ262" s="169"/>
      <c r="NDR262" s="169"/>
      <c r="NDS262" s="169"/>
      <c r="NDT262" s="169"/>
      <c r="NDU262" s="169"/>
      <c r="NDV262" s="169"/>
      <c r="NDW262" s="169"/>
      <c r="NDX262" s="169"/>
      <c r="NDY262" s="169"/>
      <c r="NDZ262" s="169"/>
      <c r="NEA262" s="169"/>
      <c r="NEB262" s="169"/>
      <c r="NEC262" s="169"/>
      <c r="NED262" s="169"/>
      <c r="NEE262" s="169"/>
      <c r="NEF262" s="169"/>
      <c r="NEG262" s="169"/>
      <c r="NEH262" s="169"/>
      <c r="NEI262" s="169"/>
      <c r="NEJ262" s="169"/>
      <c r="NEK262" s="169"/>
      <c r="NEL262" s="169"/>
      <c r="NEM262" s="169"/>
      <c r="NEN262" s="169"/>
      <c r="NEO262" s="169"/>
      <c r="NEP262" s="169"/>
      <c r="NEQ262" s="169"/>
      <c r="NER262" s="169"/>
      <c r="NES262" s="169"/>
      <c r="NET262" s="169"/>
      <c r="NEU262" s="169"/>
      <c r="NEV262" s="169"/>
      <c r="NEW262" s="169"/>
      <c r="NEX262" s="169"/>
      <c r="NEY262" s="169"/>
      <c r="NEZ262" s="169"/>
      <c r="NFA262" s="169"/>
      <c r="NFB262" s="169"/>
      <c r="NFC262" s="169"/>
      <c r="NFD262" s="169"/>
      <c r="NFE262" s="169"/>
      <c r="NFF262" s="169"/>
      <c r="NFG262" s="169"/>
      <c r="NFH262" s="169"/>
      <c r="NFI262" s="169"/>
      <c r="NFJ262" s="169"/>
      <c r="NFK262" s="169"/>
      <c r="NFL262" s="169"/>
      <c r="NFM262" s="169"/>
      <c r="NFN262" s="169"/>
      <c r="NFO262" s="169"/>
      <c r="NFP262" s="169"/>
      <c r="NFQ262" s="169"/>
      <c r="NFR262" s="169"/>
      <c r="NFS262" s="169"/>
      <c r="NFT262" s="169"/>
      <c r="NFU262" s="169"/>
      <c r="NFV262" s="169"/>
      <c r="NFW262" s="169"/>
      <c r="NFX262" s="169"/>
      <c r="NFY262" s="169"/>
      <c r="NFZ262" s="169"/>
      <c r="NGA262" s="169"/>
      <c r="NGB262" s="169"/>
      <c r="NGC262" s="169"/>
      <c r="NGD262" s="169"/>
      <c r="NGE262" s="169"/>
      <c r="NGF262" s="169"/>
      <c r="NGG262" s="169"/>
      <c r="NGH262" s="169"/>
      <c r="NGI262" s="169"/>
      <c r="NGJ262" s="169"/>
      <c r="NGK262" s="169"/>
      <c r="NGL262" s="169"/>
      <c r="NGM262" s="169"/>
      <c r="NGN262" s="169"/>
      <c r="NGO262" s="169"/>
      <c r="NGP262" s="169"/>
      <c r="NGQ262" s="169"/>
      <c r="NGR262" s="169"/>
      <c r="NGS262" s="169"/>
      <c r="NGT262" s="169"/>
      <c r="NGU262" s="169"/>
      <c r="NGV262" s="169"/>
      <c r="NGW262" s="169"/>
      <c r="NGX262" s="169"/>
      <c r="NGY262" s="169"/>
      <c r="NGZ262" s="169"/>
      <c r="NHA262" s="169"/>
      <c r="NHB262" s="169"/>
      <c r="NHC262" s="169"/>
      <c r="NHD262" s="169"/>
      <c r="NHE262" s="169"/>
      <c r="NHF262" s="169"/>
      <c r="NHG262" s="169"/>
      <c r="NHH262" s="169"/>
      <c r="NHI262" s="169"/>
      <c r="NHJ262" s="169"/>
      <c r="NHK262" s="169"/>
      <c r="NHL262" s="169"/>
      <c r="NHM262" s="169"/>
      <c r="NHN262" s="169"/>
      <c r="NHO262" s="169"/>
      <c r="NHP262" s="169"/>
      <c r="NHQ262" s="169"/>
      <c r="NHR262" s="169"/>
      <c r="NHS262" s="169"/>
      <c r="NHT262" s="169"/>
      <c r="NHU262" s="169"/>
      <c r="NHV262" s="169"/>
      <c r="NHW262" s="169"/>
      <c r="NHX262" s="169"/>
      <c r="NHY262" s="169"/>
      <c r="NHZ262" s="169"/>
      <c r="NIA262" s="169"/>
      <c r="NIB262" s="169"/>
      <c r="NIC262" s="169"/>
      <c r="NID262" s="169"/>
      <c r="NIE262" s="169"/>
      <c r="NIF262" s="169"/>
      <c r="NIG262" s="169"/>
      <c r="NIH262" s="169"/>
      <c r="NII262" s="169"/>
      <c r="NIJ262" s="169"/>
      <c r="NIK262" s="169"/>
      <c r="NIL262" s="169"/>
      <c r="NIM262" s="169"/>
      <c r="NIN262" s="169"/>
      <c r="NIO262" s="169"/>
      <c r="NIP262" s="169"/>
      <c r="NIQ262" s="169"/>
      <c r="NIR262" s="169"/>
      <c r="NIS262" s="169"/>
      <c r="NIT262" s="169"/>
      <c r="NIU262" s="169"/>
      <c r="NIV262" s="169"/>
      <c r="NIW262" s="169"/>
      <c r="NIX262" s="169"/>
      <c r="NIY262" s="169"/>
      <c r="NIZ262" s="169"/>
      <c r="NJA262" s="169"/>
      <c r="NJB262" s="169"/>
      <c r="NJC262" s="169"/>
      <c r="NJD262" s="169"/>
      <c r="NJE262" s="169"/>
      <c r="NJF262" s="169"/>
      <c r="NJG262" s="169"/>
      <c r="NJH262" s="169"/>
      <c r="NJI262" s="169"/>
      <c r="NJJ262" s="169"/>
      <c r="NJK262" s="169"/>
      <c r="NJL262" s="169"/>
      <c r="NJM262" s="169"/>
      <c r="NJN262" s="169"/>
      <c r="NJO262" s="169"/>
      <c r="NJP262" s="169"/>
      <c r="NJQ262" s="169"/>
      <c r="NJR262" s="169"/>
      <c r="NJS262" s="169"/>
      <c r="NJT262" s="169"/>
      <c r="NJU262" s="169"/>
      <c r="NJV262" s="169"/>
      <c r="NJW262" s="169"/>
      <c r="NJX262" s="169"/>
      <c r="NJY262" s="169"/>
      <c r="NJZ262" s="169"/>
      <c r="NKA262" s="169"/>
      <c r="NKB262" s="169"/>
      <c r="NKC262" s="169"/>
      <c r="NKD262" s="169"/>
      <c r="NKE262" s="169"/>
      <c r="NKF262" s="169"/>
      <c r="NKG262" s="169"/>
      <c r="NKH262" s="169"/>
      <c r="NKI262" s="169"/>
      <c r="NKJ262" s="169"/>
      <c r="NKK262" s="169"/>
      <c r="NKL262" s="169"/>
      <c r="NKM262" s="169"/>
      <c r="NKN262" s="169"/>
      <c r="NKO262" s="169"/>
      <c r="NKP262" s="169"/>
      <c r="NKQ262" s="169"/>
      <c r="NKR262" s="169"/>
      <c r="NKS262" s="169"/>
      <c r="NKT262" s="169"/>
      <c r="NKU262" s="169"/>
      <c r="NKV262" s="169"/>
      <c r="NKW262" s="169"/>
      <c r="NKX262" s="169"/>
      <c r="NKY262" s="169"/>
      <c r="NKZ262" s="169"/>
      <c r="NLA262" s="169"/>
      <c r="NLB262" s="169"/>
      <c r="NLC262" s="169"/>
      <c r="NLD262" s="169"/>
      <c r="NLE262" s="169"/>
      <c r="NLF262" s="169"/>
      <c r="NLG262" s="169"/>
      <c r="NLH262" s="169"/>
      <c r="NLI262" s="169"/>
      <c r="NLJ262" s="169"/>
      <c r="NLK262" s="169"/>
      <c r="NLL262" s="169"/>
      <c r="NLM262" s="169"/>
      <c r="NLN262" s="169"/>
      <c r="NLO262" s="169"/>
      <c r="NLP262" s="169"/>
      <c r="NLQ262" s="169"/>
      <c r="NLR262" s="169"/>
      <c r="NLS262" s="169"/>
      <c r="NLT262" s="169"/>
      <c r="NLU262" s="169"/>
      <c r="NLV262" s="169"/>
      <c r="NLW262" s="169"/>
      <c r="NLX262" s="169"/>
      <c r="NLY262" s="169"/>
      <c r="NLZ262" s="169"/>
      <c r="NMA262" s="169"/>
      <c r="NMB262" s="169"/>
      <c r="NMC262" s="169"/>
      <c r="NMD262" s="169"/>
      <c r="NME262" s="169"/>
      <c r="NMF262" s="169"/>
      <c r="NMG262" s="169"/>
      <c r="NMH262" s="169"/>
      <c r="NMI262" s="169"/>
      <c r="NMJ262" s="169"/>
      <c r="NMK262" s="169"/>
      <c r="NML262" s="169"/>
      <c r="NMM262" s="169"/>
      <c r="NMN262" s="169"/>
      <c r="NMO262" s="169"/>
      <c r="NMP262" s="169"/>
      <c r="NMQ262" s="169"/>
      <c r="NMR262" s="169"/>
      <c r="NMS262" s="169"/>
      <c r="NMT262" s="169"/>
      <c r="NMU262" s="169"/>
      <c r="NMV262" s="169"/>
      <c r="NMW262" s="169"/>
      <c r="NMX262" s="169"/>
      <c r="NMY262" s="169"/>
      <c r="NMZ262" s="169"/>
      <c r="NNA262" s="169"/>
      <c r="NNB262" s="169"/>
      <c r="NNC262" s="169"/>
      <c r="NND262" s="169"/>
      <c r="NNE262" s="169"/>
      <c r="NNF262" s="169"/>
      <c r="NNG262" s="169"/>
      <c r="NNH262" s="169"/>
      <c r="NNI262" s="169"/>
      <c r="NNJ262" s="169"/>
      <c r="NNK262" s="169"/>
      <c r="NNL262" s="169"/>
      <c r="NNM262" s="169"/>
      <c r="NNN262" s="169"/>
      <c r="NNO262" s="169"/>
      <c r="NNP262" s="169"/>
      <c r="NNQ262" s="169"/>
      <c r="NNR262" s="169"/>
      <c r="NNS262" s="169"/>
      <c r="NNT262" s="169"/>
      <c r="NNU262" s="169"/>
      <c r="NNV262" s="169"/>
      <c r="NNW262" s="169"/>
      <c r="NNX262" s="169"/>
      <c r="NNY262" s="169"/>
      <c r="NNZ262" s="169"/>
      <c r="NOA262" s="169"/>
      <c r="NOB262" s="169"/>
      <c r="NOC262" s="169"/>
      <c r="NOD262" s="169"/>
      <c r="NOE262" s="169"/>
      <c r="NOF262" s="169"/>
      <c r="NOG262" s="169"/>
      <c r="NOH262" s="169"/>
      <c r="NOI262" s="169"/>
      <c r="NOJ262" s="169"/>
      <c r="NOK262" s="169"/>
      <c r="NOL262" s="169"/>
      <c r="NOM262" s="169"/>
      <c r="NON262" s="169"/>
      <c r="NOO262" s="169"/>
      <c r="NOP262" s="169"/>
      <c r="NOQ262" s="169"/>
      <c r="NOR262" s="169"/>
      <c r="NOS262" s="169"/>
      <c r="NOT262" s="169"/>
      <c r="NOU262" s="169"/>
      <c r="NOV262" s="169"/>
      <c r="NOW262" s="169"/>
      <c r="NOX262" s="169"/>
      <c r="NOY262" s="169"/>
      <c r="NOZ262" s="169"/>
      <c r="NPA262" s="169"/>
      <c r="NPB262" s="169"/>
      <c r="NPC262" s="169"/>
      <c r="NPD262" s="169"/>
      <c r="NPE262" s="169"/>
      <c r="NPF262" s="169"/>
      <c r="NPG262" s="169"/>
      <c r="NPH262" s="169"/>
      <c r="NPI262" s="169"/>
      <c r="NPJ262" s="169"/>
      <c r="NPK262" s="169"/>
      <c r="NPL262" s="169"/>
      <c r="NPM262" s="169"/>
      <c r="NPN262" s="169"/>
      <c r="NPO262" s="169"/>
      <c r="NPP262" s="169"/>
      <c r="NPQ262" s="169"/>
      <c r="NPR262" s="169"/>
      <c r="NPS262" s="169"/>
      <c r="NPT262" s="169"/>
      <c r="NPU262" s="169"/>
      <c r="NPV262" s="169"/>
      <c r="NPW262" s="169"/>
      <c r="NPX262" s="169"/>
      <c r="NPY262" s="169"/>
      <c r="NPZ262" s="169"/>
      <c r="NQA262" s="169"/>
      <c r="NQB262" s="169"/>
      <c r="NQC262" s="169"/>
      <c r="NQD262" s="169"/>
      <c r="NQE262" s="169"/>
      <c r="NQF262" s="169"/>
      <c r="NQG262" s="169"/>
      <c r="NQH262" s="169"/>
      <c r="NQI262" s="169"/>
      <c r="NQJ262" s="169"/>
      <c r="NQK262" s="169"/>
      <c r="NQL262" s="169"/>
      <c r="NQM262" s="169"/>
      <c r="NQN262" s="169"/>
      <c r="NQO262" s="169"/>
      <c r="NQP262" s="169"/>
      <c r="NQQ262" s="169"/>
      <c r="NQR262" s="169"/>
      <c r="NQS262" s="169"/>
      <c r="NQT262" s="169"/>
      <c r="NQU262" s="169"/>
      <c r="NQV262" s="169"/>
      <c r="NQW262" s="169"/>
      <c r="NQX262" s="169"/>
      <c r="NQY262" s="169"/>
      <c r="NQZ262" s="169"/>
      <c r="NRA262" s="169"/>
      <c r="NRB262" s="169"/>
      <c r="NRC262" s="169"/>
      <c r="NRD262" s="169"/>
      <c r="NRE262" s="169"/>
      <c r="NRF262" s="169"/>
      <c r="NRG262" s="169"/>
      <c r="NRH262" s="169"/>
      <c r="NRI262" s="169"/>
      <c r="NRJ262" s="169"/>
      <c r="NRK262" s="169"/>
      <c r="NRL262" s="169"/>
      <c r="NRM262" s="169"/>
      <c r="NRN262" s="169"/>
      <c r="NRO262" s="169"/>
      <c r="NRP262" s="169"/>
      <c r="NRQ262" s="169"/>
      <c r="NRR262" s="169"/>
      <c r="NRS262" s="169"/>
      <c r="NRT262" s="169"/>
      <c r="NRU262" s="169"/>
      <c r="NRV262" s="169"/>
      <c r="NRW262" s="169"/>
      <c r="NRX262" s="169"/>
      <c r="NRY262" s="169"/>
      <c r="NRZ262" s="169"/>
      <c r="NSA262" s="169"/>
      <c r="NSB262" s="169"/>
      <c r="NSC262" s="169"/>
      <c r="NSD262" s="169"/>
      <c r="NSE262" s="169"/>
      <c r="NSF262" s="169"/>
      <c r="NSG262" s="169"/>
      <c r="NSH262" s="169"/>
      <c r="NSI262" s="169"/>
      <c r="NSJ262" s="169"/>
      <c r="NSK262" s="169"/>
      <c r="NSL262" s="169"/>
      <c r="NSM262" s="169"/>
      <c r="NSN262" s="169"/>
      <c r="NSO262" s="169"/>
      <c r="NSP262" s="169"/>
      <c r="NSQ262" s="169"/>
      <c r="NSR262" s="169"/>
      <c r="NSS262" s="169"/>
      <c r="NST262" s="169"/>
      <c r="NSU262" s="169"/>
      <c r="NSV262" s="169"/>
      <c r="NSW262" s="169"/>
      <c r="NSX262" s="169"/>
      <c r="NSY262" s="169"/>
      <c r="NSZ262" s="169"/>
      <c r="NTA262" s="169"/>
      <c r="NTB262" s="169"/>
      <c r="NTC262" s="169"/>
      <c r="NTD262" s="169"/>
      <c r="NTE262" s="169"/>
      <c r="NTF262" s="169"/>
      <c r="NTG262" s="169"/>
      <c r="NTH262" s="169"/>
      <c r="NTI262" s="169"/>
      <c r="NTJ262" s="169"/>
      <c r="NTK262" s="169"/>
      <c r="NTL262" s="169"/>
      <c r="NTM262" s="169"/>
      <c r="NTN262" s="169"/>
      <c r="NTO262" s="169"/>
      <c r="NTP262" s="169"/>
      <c r="NTQ262" s="169"/>
      <c r="NTR262" s="169"/>
      <c r="NTS262" s="169"/>
      <c r="NTT262" s="169"/>
      <c r="NTU262" s="169"/>
      <c r="NTV262" s="169"/>
      <c r="NTW262" s="169"/>
      <c r="NTX262" s="169"/>
      <c r="NTY262" s="169"/>
      <c r="NTZ262" s="169"/>
      <c r="NUA262" s="169"/>
      <c r="NUB262" s="169"/>
      <c r="NUC262" s="169"/>
      <c r="NUD262" s="169"/>
      <c r="NUE262" s="169"/>
      <c r="NUF262" s="169"/>
      <c r="NUG262" s="169"/>
      <c r="NUH262" s="169"/>
      <c r="NUI262" s="169"/>
      <c r="NUJ262" s="169"/>
      <c r="NUK262" s="169"/>
      <c r="NUL262" s="169"/>
      <c r="NUM262" s="169"/>
      <c r="NUN262" s="169"/>
      <c r="NUO262" s="169"/>
      <c r="NUP262" s="169"/>
      <c r="NUQ262" s="169"/>
      <c r="NUR262" s="169"/>
      <c r="NUS262" s="169"/>
      <c r="NUT262" s="169"/>
      <c r="NUU262" s="169"/>
      <c r="NUV262" s="169"/>
      <c r="NUW262" s="169"/>
      <c r="NUX262" s="169"/>
      <c r="NUY262" s="169"/>
      <c r="NUZ262" s="169"/>
      <c r="NVA262" s="169"/>
      <c r="NVB262" s="169"/>
      <c r="NVC262" s="169"/>
      <c r="NVD262" s="169"/>
      <c r="NVE262" s="169"/>
      <c r="NVF262" s="169"/>
      <c r="NVG262" s="169"/>
      <c r="NVH262" s="169"/>
      <c r="NVI262" s="169"/>
      <c r="NVJ262" s="169"/>
      <c r="NVK262" s="169"/>
      <c r="NVL262" s="169"/>
      <c r="NVM262" s="169"/>
      <c r="NVN262" s="169"/>
      <c r="NVO262" s="169"/>
      <c r="NVP262" s="169"/>
      <c r="NVQ262" s="169"/>
      <c r="NVR262" s="169"/>
      <c r="NVS262" s="169"/>
      <c r="NVT262" s="169"/>
      <c r="NVU262" s="169"/>
      <c r="NVV262" s="169"/>
      <c r="NVW262" s="169"/>
      <c r="NVX262" s="169"/>
      <c r="NVY262" s="169"/>
      <c r="NVZ262" s="169"/>
      <c r="NWA262" s="169"/>
      <c r="NWB262" s="169"/>
      <c r="NWC262" s="169"/>
      <c r="NWD262" s="169"/>
      <c r="NWE262" s="169"/>
      <c r="NWF262" s="169"/>
      <c r="NWG262" s="169"/>
      <c r="NWH262" s="169"/>
      <c r="NWI262" s="169"/>
      <c r="NWJ262" s="169"/>
      <c r="NWK262" s="169"/>
      <c r="NWL262" s="169"/>
      <c r="NWM262" s="169"/>
      <c r="NWN262" s="169"/>
      <c r="NWO262" s="169"/>
      <c r="NWP262" s="169"/>
      <c r="NWQ262" s="169"/>
      <c r="NWR262" s="169"/>
      <c r="NWS262" s="169"/>
      <c r="NWT262" s="169"/>
      <c r="NWU262" s="169"/>
      <c r="NWV262" s="169"/>
      <c r="NWW262" s="169"/>
      <c r="NWX262" s="169"/>
      <c r="NWY262" s="169"/>
      <c r="NWZ262" s="169"/>
      <c r="NXA262" s="169"/>
      <c r="NXB262" s="169"/>
      <c r="NXC262" s="169"/>
      <c r="NXD262" s="169"/>
      <c r="NXE262" s="169"/>
      <c r="NXF262" s="169"/>
      <c r="NXG262" s="169"/>
      <c r="NXH262" s="169"/>
      <c r="NXI262" s="169"/>
      <c r="NXJ262" s="169"/>
      <c r="NXK262" s="169"/>
      <c r="NXL262" s="169"/>
      <c r="NXM262" s="169"/>
      <c r="NXN262" s="169"/>
      <c r="NXO262" s="169"/>
      <c r="NXP262" s="169"/>
      <c r="NXQ262" s="169"/>
      <c r="NXR262" s="169"/>
      <c r="NXS262" s="169"/>
      <c r="NXT262" s="169"/>
      <c r="NXU262" s="169"/>
      <c r="NXV262" s="169"/>
      <c r="NXW262" s="169"/>
      <c r="NXX262" s="169"/>
      <c r="NXY262" s="169"/>
      <c r="NXZ262" s="169"/>
      <c r="NYA262" s="169"/>
      <c r="NYB262" s="169"/>
      <c r="NYC262" s="169"/>
      <c r="NYD262" s="169"/>
      <c r="NYE262" s="169"/>
      <c r="NYF262" s="169"/>
      <c r="NYG262" s="169"/>
      <c r="NYH262" s="169"/>
      <c r="NYI262" s="169"/>
      <c r="NYJ262" s="169"/>
      <c r="NYK262" s="169"/>
      <c r="NYL262" s="169"/>
      <c r="NYM262" s="169"/>
      <c r="NYN262" s="169"/>
      <c r="NYO262" s="169"/>
      <c r="NYP262" s="169"/>
      <c r="NYQ262" s="169"/>
      <c r="NYR262" s="169"/>
      <c r="NYS262" s="169"/>
      <c r="NYT262" s="169"/>
      <c r="NYU262" s="169"/>
      <c r="NYV262" s="169"/>
      <c r="NYW262" s="169"/>
      <c r="NYX262" s="169"/>
      <c r="NYY262" s="169"/>
      <c r="NYZ262" s="169"/>
      <c r="NZA262" s="169"/>
      <c r="NZB262" s="169"/>
      <c r="NZC262" s="169"/>
      <c r="NZD262" s="169"/>
      <c r="NZE262" s="169"/>
      <c r="NZF262" s="169"/>
      <c r="NZG262" s="169"/>
      <c r="NZH262" s="169"/>
      <c r="NZI262" s="169"/>
      <c r="NZJ262" s="169"/>
      <c r="NZK262" s="169"/>
      <c r="NZL262" s="169"/>
      <c r="NZM262" s="169"/>
      <c r="NZN262" s="169"/>
      <c r="NZO262" s="169"/>
      <c r="NZP262" s="169"/>
      <c r="NZQ262" s="169"/>
      <c r="NZR262" s="169"/>
      <c r="NZS262" s="169"/>
      <c r="NZT262" s="169"/>
      <c r="NZU262" s="169"/>
      <c r="NZV262" s="169"/>
      <c r="NZW262" s="169"/>
      <c r="NZX262" s="169"/>
      <c r="NZY262" s="169"/>
      <c r="NZZ262" s="169"/>
      <c r="OAA262" s="169"/>
      <c r="OAB262" s="169"/>
      <c r="OAC262" s="169"/>
      <c r="OAD262" s="169"/>
      <c r="OAE262" s="169"/>
      <c r="OAF262" s="169"/>
      <c r="OAG262" s="169"/>
      <c r="OAH262" s="169"/>
      <c r="OAI262" s="169"/>
      <c r="OAJ262" s="169"/>
      <c r="OAK262" s="169"/>
      <c r="OAL262" s="169"/>
      <c r="OAM262" s="169"/>
      <c r="OAN262" s="169"/>
      <c r="OAO262" s="169"/>
      <c r="OAP262" s="169"/>
      <c r="OAQ262" s="169"/>
      <c r="OAR262" s="169"/>
      <c r="OAS262" s="169"/>
      <c r="OAT262" s="169"/>
      <c r="OAU262" s="169"/>
      <c r="OAV262" s="169"/>
      <c r="OAW262" s="169"/>
      <c r="OAX262" s="169"/>
      <c r="OAY262" s="169"/>
      <c r="OAZ262" s="169"/>
      <c r="OBA262" s="169"/>
      <c r="OBB262" s="169"/>
      <c r="OBC262" s="169"/>
      <c r="OBD262" s="169"/>
      <c r="OBE262" s="169"/>
      <c r="OBF262" s="169"/>
      <c r="OBG262" s="169"/>
      <c r="OBH262" s="169"/>
      <c r="OBI262" s="169"/>
      <c r="OBJ262" s="169"/>
      <c r="OBK262" s="169"/>
      <c r="OBL262" s="169"/>
      <c r="OBM262" s="169"/>
      <c r="OBN262" s="169"/>
      <c r="OBO262" s="169"/>
      <c r="OBP262" s="169"/>
      <c r="OBQ262" s="169"/>
      <c r="OBR262" s="169"/>
      <c r="OBS262" s="169"/>
      <c r="OBT262" s="169"/>
      <c r="OBU262" s="169"/>
      <c r="OBV262" s="169"/>
      <c r="OBW262" s="169"/>
      <c r="OBX262" s="169"/>
      <c r="OBY262" s="169"/>
      <c r="OBZ262" s="169"/>
      <c r="OCA262" s="169"/>
      <c r="OCB262" s="169"/>
      <c r="OCC262" s="169"/>
      <c r="OCD262" s="169"/>
      <c r="OCE262" s="169"/>
      <c r="OCF262" s="169"/>
      <c r="OCG262" s="169"/>
      <c r="OCH262" s="169"/>
      <c r="OCI262" s="169"/>
      <c r="OCJ262" s="169"/>
      <c r="OCK262" s="169"/>
      <c r="OCL262" s="169"/>
      <c r="OCM262" s="169"/>
      <c r="OCN262" s="169"/>
      <c r="OCO262" s="169"/>
      <c r="OCP262" s="169"/>
      <c r="OCQ262" s="169"/>
      <c r="OCR262" s="169"/>
      <c r="OCS262" s="169"/>
      <c r="OCT262" s="169"/>
      <c r="OCU262" s="169"/>
      <c r="OCV262" s="169"/>
      <c r="OCW262" s="169"/>
      <c r="OCX262" s="169"/>
      <c r="OCY262" s="169"/>
      <c r="OCZ262" s="169"/>
      <c r="ODA262" s="169"/>
      <c r="ODB262" s="169"/>
      <c r="ODC262" s="169"/>
      <c r="ODD262" s="169"/>
      <c r="ODE262" s="169"/>
      <c r="ODF262" s="169"/>
      <c r="ODG262" s="169"/>
      <c r="ODH262" s="169"/>
      <c r="ODI262" s="169"/>
      <c r="ODJ262" s="169"/>
      <c r="ODK262" s="169"/>
      <c r="ODL262" s="169"/>
      <c r="ODM262" s="169"/>
      <c r="ODN262" s="169"/>
      <c r="ODO262" s="169"/>
      <c r="ODP262" s="169"/>
      <c r="ODQ262" s="169"/>
      <c r="ODR262" s="169"/>
      <c r="ODS262" s="169"/>
      <c r="ODT262" s="169"/>
      <c r="ODU262" s="169"/>
      <c r="ODV262" s="169"/>
      <c r="ODW262" s="169"/>
      <c r="ODX262" s="169"/>
      <c r="ODY262" s="169"/>
      <c r="ODZ262" s="169"/>
      <c r="OEA262" s="169"/>
      <c r="OEB262" s="169"/>
      <c r="OEC262" s="169"/>
      <c r="OED262" s="169"/>
      <c r="OEE262" s="169"/>
      <c r="OEF262" s="169"/>
      <c r="OEG262" s="169"/>
      <c r="OEH262" s="169"/>
      <c r="OEI262" s="169"/>
      <c r="OEJ262" s="169"/>
      <c r="OEK262" s="169"/>
      <c r="OEL262" s="169"/>
      <c r="OEM262" s="169"/>
      <c r="OEN262" s="169"/>
      <c r="OEO262" s="169"/>
      <c r="OEP262" s="169"/>
      <c r="OEQ262" s="169"/>
      <c r="OER262" s="169"/>
      <c r="OES262" s="169"/>
      <c r="OET262" s="169"/>
      <c r="OEU262" s="169"/>
      <c r="OEV262" s="169"/>
      <c r="OEW262" s="169"/>
      <c r="OEX262" s="169"/>
      <c r="OEY262" s="169"/>
      <c r="OEZ262" s="169"/>
      <c r="OFA262" s="169"/>
      <c r="OFB262" s="169"/>
      <c r="OFC262" s="169"/>
      <c r="OFD262" s="169"/>
      <c r="OFE262" s="169"/>
      <c r="OFF262" s="169"/>
      <c r="OFG262" s="169"/>
      <c r="OFH262" s="169"/>
      <c r="OFI262" s="169"/>
      <c r="OFJ262" s="169"/>
      <c r="OFK262" s="169"/>
      <c r="OFL262" s="169"/>
      <c r="OFM262" s="169"/>
      <c r="OFN262" s="169"/>
      <c r="OFO262" s="169"/>
      <c r="OFP262" s="169"/>
      <c r="OFQ262" s="169"/>
      <c r="OFR262" s="169"/>
      <c r="OFS262" s="169"/>
      <c r="OFT262" s="169"/>
      <c r="OFU262" s="169"/>
      <c r="OFV262" s="169"/>
      <c r="OFW262" s="169"/>
      <c r="OFX262" s="169"/>
      <c r="OFY262" s="169"/>
      <c r="OFZ262" s="169"/>
      <c r="OGA262" s="169"/>
      <c r="OGB262" s="169"/>
      <c r="OGC262" s="169"/>
      <c r="OGD262" s="169"/>
      <c r="OGE262" s="169"/>
      <c r="OGF262" s="169"/>
      <c r="OGG262" s="169"/>
      <c r="OGH262" s="169"/>
      <c r="OGI262" s="169"/>
      <c r="OGJ262" s="169"/>
      <c r="OGK262" s="169"/>
      <c r="OGL262" s="169"/>
      <c r="OGM262" s="169"/>
      <c r="OGN262" s="169"/>
      <c r="OGO262" s="169"/>
      <c r="OGP262" s="169"/>
      <c r="OGQ262" s="169"/>
      <c r="OGR262" s="169"/>
      <c r="OGS262" s="169"/>
      <c r="OGT262" s="169"/>
      <c r="OGU262" s="169"/>
      <c r="OGV262" s="169"/>
      <c r="OGW262" s="169"/>
      <c r="OGX262" s="169"/>
      <c r="OGY262" s="169"/>
      <c r="OGZ262" s="169"/>
      <c r="OHA262" s="169"/>
      <c r="OHB262" s="169"/>
      <c r="OHC262" s="169"/>
      <c r="OHD262" s="169"/>
      <c r="OHE262" s="169"/>
      <c r="OHF262" s="169"/>
      <c r="OHG262" s="169"/>
      <c r="OHH262" s="169"/>
      <c r="OHI262" s="169"/>
      <c r="OHJ262" s="169"/>
      <c r="OHK262" s="169"/>
      <c r="OHL262" s="169"/>
      <c r="OHM262" s="169"/>
      <c r="OHN262" s="169"/>
      <c r="OHO262" s="169"/>
      <c r="OHP262" s="169"/>
      <c r="OHQ262" s="169"/>
      <c r="OHR262" s="169"/>
      <c r="OHS262" s="169"/>
      <c r="OHT262" s="169"/>
      <c r="OHU262" s="169"/>
      <c r="OHV262" s="169"/>
      <c r="OHW262" s="169"/>
      <c r="OHX262" s="169"/>
      <c r="OHY262" s="169"/>
      <c r="OHZ262" s="169"/>
      <c r="OIA262" s="169"/>
      <c r="OIB262" s="169"/>
      <c r="OIC262" s="169"/>
      <c r="OID262" s="169"/>
      <c r="OIE262" s="169"/>
      <c r="OIF262" s="169"/>
      <c r="OIG262" s="169"/>
      <c r="OIH262" s="169"/>
      <c r="OII262" s="169"/>
      <c r="OIJ262" s="169"/>
      <c r="OIK262" s="169"/>
      <c r="OIL262" s="169"/>
      <c r="OIM262" s="169"/>
      <c r="OIN262" s="169"/>
      <c r="OIO262" s="169"/>
      <c r="OIP262" s="169"/>
      <c r="OIQ262" s="169"/>
      <c r="OIR262" s="169"/>
      <c r="OIS262" s="169"/>
      <c r="OIT262" s="169"/>
      <c r="OIU262" s="169"/>
      <c r="OIV262" s="169"/>
      <c r="OIW262" s="169"/>
      <c r="OIX262" s="169"/>
      <c r="OIY262" s="169"/>
      <c r="OIZ262" s="169"/>
      <c r="OJA262" s="169"/>
      <c r="OJB262" s="169"/>
      <c r="OJC262" s="169"/>
      <c r="OJD262" s="169"/>
      <c r="OJE262" s="169"/>
      <c r="OJF262" s="169"/>
      <c r="OJG262" s="169"/>
      <c r="OJH262" s="169"/>
      <c r="OJI262" s="169"/>
      <c r="OJJ262" s="169"/>
      <c r="OJK262" s="169"/>
      <c r="OJL262" s="169"/>
      <c r="OJM262" s="169"/>
      <c r="OJN262" s="169"/>
      <c r="OJO262" s="169"/>
      <c r="OJP262" s="169"/>
      <c r="OJQ262" s="169"/>
      <c r="OJR262" s="169"/>
      <c r="OJS262" s="169"/>
      <c r="OJT262" s="169"/>
      <c r="OJU262" s="169"/>
      <c r="OJV262" s="169"/>
      <c r="OJW262" s="169"/>
      <c r="OJX262" s="169"/>
      <c r="OJY262" s="169"/>
      <c r="OJZ262" s="169"/>
      <c r="OKA262" s="169"/>
      <c r="OKB262" s="169"/>
      <c r="OKC262" s="169"/>
      <c r="OKD262" s="169"/>
      <c r="OKE262" s="169"/>
      <c r="OKF262" s="169"/>
      <c r="OKG262" s="169"/>
      <c r="OKH262" s="169"/>
      <c r="OKI262" s="169"/>
      <c r="OKJ262" s="169"/>
      <c r="OKK262" s="169"/>
      <c r="OKL262" s="169"/>
      <c r="OKM262" s="169"/>
      <c r="OKN262" s="169"/>
      <c r="OKO262" s="169"/>
      <c r="OKP262" s="169"/>
      <c r="OKQ262" s="169"/>
      <c r="OKR262" s="169"/>
      <c r="OKS262" s="169"/>
      <c r="OKT262" s="169"/>
      <c r="OKU262" s="169"/>
      <c r="OKV262" s="169"/>
      <c r="OKW262" s="169"/>
      <c r="OKX262" s="169"/>
      <c r="OKY262" s="169"/>
      <c r="OKZ262" s="169"/>
      <c r="OLA262" s="169"/>
      <c r="OLB262" s="169"/>
      <c r="OLC262" s="169"/>
      <c r="OLD262" s="169"/>
      <c r="OLE262" s="169"/>
      <c r="OLF262" s="169"/>
      <c r="OLG262" s="169"/>
      <c r="OLH262" s="169"/>
      <c r="OLI262" s="169"/>
      <c r="OLJ262" s="169"/>
      <c r="OLK262" s="169"/>
      <c r="OLL262" s="169"/>
      <c r="OLM262" s="169"/>
      <c r="OLN262" s="169"/>
      <c r="OLO262" s="169"/>
      <c r="OLP262" s="169"/>
      <c r="OLQ262" s="169"/>
      <c r="OLR262" s="169"/>
      <c r="OLS262" s="169"/>
      <c r="OLT262" s="169"/>
      <c r="OLU262" s="169"/>
      <c r="OLV262" s="169"/>
      <c r="OLW262" s="169"/>
      <c r="OLX262" s="169"/>
      <c r="OLY262" s="169"/>
      <c r="OLZ262" s="169"/>
      <c r="OMA262" s="169"/>
      <c r="OMB262" s="169"/>
      <c r="OMC262" s="169"/>
      <c r="OMD262" s="169"/>
      <c r="OME262" s="169"/>
      <c r="OMF262" s="169"/>
      <c r="OMG262" s="169"/>
      <c r="OMH262" s="169"/>
      <c r="OMI262" s="169"/>
      <c r="OMJ262" s="169"/>
      <c r="OMK262" s="169"/>
      <c r="OML262" s="169"/>
      <c r="OMM262" s="169"/>
      <c r="OMN262" s="169"/>
      <c r="OMO262" s="169"/>
      <c r="OMP262" s="169"/>
      <c r="OMQ262" s="169"/>
      <c r="OMR262" s="169"/>
      <c r="OMS262" s="169"/>
      <c r="OMT262" s="169"/>
      <c r="OMU262" s="169"/>
      <c r="OMV262" s="169"/>
      <c r="OMW262" s="169"/>
      <c r="OMX262" s="169"/>
      <c r="OMY262" s="169"/>
      <c r="OMZ262" s="169"/>
      <c r="ONA262" s="169"/>
      <c r="ONB262" s="169"/>
      <c r="ONC262" s="169"/>
      <c r="OND262" s="169"/>
      <c r="ONE262" s="169"/>
      <c r="ONF262" s="169"/>
      <c r="ONG262" s="169"/>
      <c r="ONH262" s="169"/>
      <c r="ONI262" s="169"/>
      <c r="ONJ262" s="169"/>
      <c r="ONK262" s="169"/>
      <c r="ONL262" s="169"/>
      <c r="ONM262" s="169"/>
      <c r="ONN262" s="169"/>
      <c r="ONO262" s="169"/>
      <c r="ONP262" s="169"/>
      <c r="ONQ262" s="169"/>
      <c r="ONR262" s="169"/>
      <c r="ONS262" s="169"/>
      <c r="ONT262" s="169"/>
      <c r="ONU262" s="169"/>
      <c r="ONV262" s="169"/>
      <c r="ONW262" s="169"/>
      <c r="ONX262" s="169"/>
      <c r="ONY262" s="169"/>
      <c r="ONZ262" s="169"/>
      <c r="OOA262" s="169"/>
      <c r="OOB262" s="169"/>
      <c r="OOC262" s="169"/>
      <c r="OOD262" s="169"/>
      <c r="OOE262" s="169"/>
      <c r="OOF262" s="169"/>
      <c r="OOG262" s="169"/>
      <c r="OOH262" s="169"/>
      <c r="OOI262" s="169"/>
      <c r="OOJ262" s="169"/>
      <c r="OOK262" s="169"/>
      <c r="OOL262" s="169"/>
      <c r="OOM262" s="169"/>
      <c r="OON262" s="169"/>
      <c r="OOO262" s="169"/>
      <c r="OOP262" s="169"/>
      <c r="OOQ262" s="169"/>
      <c r="OOR262" s="169"/>
      <c r="OOS262" s="169"/>
      <c r="OOT262" s="169"/>
      <c r="OOU262" s="169"/>
      <c r="OOV262" s="169"/>
      <c r="OOW262" s="169"/>
      <c r="OOX262" s="169"/>
      <c r="OOY262" s="169"/>
      <c r="OOZ262" s="169"/>
      <c r="OPA262" s="169"/>
      <c r="OPB262" s="169"/>
      <c r="OPC262" s="169"/>
      <c r="OPD262" s="169"/>
      <c r="OPE262" s="169"/>
      <c r="OPF262" s="169"/>
      <c r="OPG262" s="169"/>
      <c r="OPH262" s="169"/>
      <c r="OPI262" s="169"/>
      <c r="OPJ262" s="169"/>
      <c r="OPK262" s="169"/>
      <c r="OPL262" s="169"/>
      <c r="OPM262" s="169"/>
      <c r="OPN262" s="169"/>
      <c r="OPO262" s="169"/>
      <c r="OPP262" s="169"/>
      <c r="OPQ262" s="169"/>
      <c r="OPR262" s="169"/>
      <c r="OPS262" s="169"/>
      <c r="OPT262" s="169"/>
      <c r="OPU262" s="169"/>
      <c r="OPV262" s="169"/>
      <c r="OPW262" s="169"/>
      <c r="OPX262" s="169"/>
      <c r="OPY262" s="169"/>
      <c r="OPZ262" s="169"/>
      <c r="OQA262" s="169"/>
      <c r="OQB262" s="169"/>
      <c r="OQC262" s="169"/>
      <c r="OQD262" s="169"/>
      <c r="OQE262" s="169"/>
      <c r="OQF262" s="169"/>
      <c r="OQG262" s="169"/>
      <c r="OQH262" s="169"/>
      <c r="OQI262" s="169"/>
      <c r="OQJ262" s="169"/>
      <c r="OQK262" s="169"/>
      <c r="OQL262" s="169"/>
      <c r="OQM262" s="169"/>
      <c r="OQN262" s="169"/>
      <c r="OQO262" s="169"/>
      <c r="OQP262" s="169"/>
      <c r="OQQ262" s="169"/>
      <c r="OQR262" s="169"/>
      <c r="OQS262" s="169"/>
      <c r="OQT262" s="169"/>
      <c r="OQU262" s="169"/>
      <c r="OQV262" s="169"/>
      <c r="OQW262" s="169"/>
      <c r="OQX262" s="169"/>
      <c r="OQY262" s="169"/>
      <c r="OQZ262" s="169"/>
      <c r="ORA262" s="169"/>
      <c r="ORB262" s="169"/>
      <c r="ORC262" s="169"/>
      <c r="ORD262" s="169"/>
      <c r="ORE262" s="169"/>
      <c r="ORF262" s="169"/>
      <c r="ORG262" s="169"/>
      <c r="ORH262" s="169"/>
      <c r="ORI262" s="169"/>
      <c r="ORJ262" s="169"/>
      <c r="ORK262" s="169"/>
      <c r="ORL262" s="169"/>
      <c r="ORM262" s="169"/>
      <c r="ORN262" s="169"/>
      <c r="ORO262" s="169"/>
      <c r="ORP262" s="169"/>
      <c r="ORQ262" s="169"/>
      <c r="ORR262" s="169"/>
      <c r="ORS262" s="169"/>
      <c r="ORT262" s="169"/>
      <c r="ORU262" s="169"/>
      <c r="ORV262" s="169"/>
      <c r="ORW262" s="169"/>
      <c r="ORX262" s="169"/>
      <c r="ORY262" s="169"/>
      <c r="ORZ262" s="169"/>
      <c r="OSA262" s="169"/>
      <c r="OSB262" s="169"/>
      <c r="OSC262" s="169"/>
      <c r="OSD262" s="169"/>
      <c r="OSE262" s="169"/>
      <c r="OSF262" s="169"/>
      <c r="OSG262" s="169"/>
      <c r="OSH262" s="169"/>
      <c r="OSI262" s="169"/>
      <c r="OSJ262" s="169"/>
      <c r="OSK262" s="169"/>
      <c r="OSL262" s="169"/>
      <c r="OSM262" s="169"/>
      <c r="OSN262" s="169"/>
      <c r="OSO262" s="169"/>
      <c r="OSP262" s="169"/>
      <c r="OSQ262" s="169"/>
      <c r="OSR262" s="169"/>
      <c r="OSS262" s="169"/>
      <c r="OST262" s="169"/>
      <c r="OSU262" s="169"/>
      <c r="OSV262" s="169"/>
      <c r="OSW262" s="169"/>
      <c r="OSX262" s="169"/>
      <c r="OSY262" s="169"/>
      <c r="OSZ262" s="169"/>
      <c r="OTA262" s="169"/>
      <c r="OTB262" s="169"/>
      <c r="OTC262" s="169"/>
      <c r="OTD262" s="169"/>
      <c r="OTE262" s="169"/>
      <c r="OTF262" s="169"/>
      <c r="OTG262" s="169"/>
      <c r="OTH262" s="169"/>
      <c r="OTI262" s="169"/>
      <c r="OTJ262" s="169"/>
      <c r="OTK262" s="169"/>
      <c r="OTL262" s="169"/>
      <c r="OTM262" s="169"/>
      <c r="OTN262" s="169"/>
      <c r="OTO262" s="169"/>
      <c r="OTP262" s="169"/>
      <c r="OTQ262" s="169"/>
      <c r="OTR262" s="169"/>
      <c r="OTS262" s="169"/>
      <c r="OTT262" s="169"/>
      <c r="OTU262" s="169"/>
      <c r="OTV262" s="169"/>
      <c r="OTW262" s="169"/>
      <c r="OTX262" s="169"/>
      <c r="OTY262" s="169"/>
      <c r="OTZ262" s="169"/>
      <c r="OUA262" s="169"/>
      <c r="OUB262" s="169"/>
      <c r="OUC262" s="169"/>
      <c r="OUD262" s="169"/>
      <c r="OUE262" s="169"/>
      <c r="OUF262" s="169"/>
      <c r="OUG262" s="169"/>
      <c r="OUH262" s="169"/>
      <c r="OUI262" s="169"/>
      <c r="OUJ262" s="169"/>
      <c r="OUK262" s="169"/>
      <c r="OUL262" s="169"/>
      <c r="OUM262" s="169"/>
      <c r="OUN262" s="169"/>
      <c r="OUO262" s="169"/>
      <c r="OUP262" s="169"/>
      <c r="OUQ262" s="169"/>
      <c r="OUR262" s="169"/>
      <c r="OUS262" s="169"/>
      <c r="OUT262" s="169"/>
      <c r="OUU262" s="169"/>
      <c r="OUV262" s="169"/>
      <c r="OUW262" s="169"/>
      <c r="OUX262" s="169"/>
      <c r="OUY262" s="169"/>
      <c r="OUZ262" s="169"/>
      <c r="OVA262" s="169"/>
      <c r="OVB262" s="169"/>
      <c r="OVC262" s="169"/>
      <c r="OVD262" s="169"/>
      <c r="OVE262" s="169"/>
      <c r="OVF262" s="169"/>
      <c r="OVG262" s="169"/>
      <c r="OVH262" s="169"/>
      <c r="OVI262" s="169"/>
      <c r="OVJ262" s="169"/>
      <c r="OVK262" s="169"/>
      <c r="OVL262" s="169"/>
      <c r="OVM262" s="169"/>
      <c r="OVN262" s="169"/>
      <c r="OVO262" s="169"/>
      <c r="OVP262" s="169"/>
      <c r="OVQ262" s="169"/>
      <c r="OVR262" s="169"/>
      <c r="OVS262" s="169"/>
      <c r="OVT262" s="169"/>
      <c r="OVU262" s="169"/>
      <c r="OVV262" s="169"/>
      <c r="OVW262" s="169"/>
      <c r="OVX262" s="169"/>
      <c r="OVY262" s="169"/>
      <c r="OVZ262" s="169"/>
      <c r="OWA262" s="169"/>
      <c r="OWB262" s="169"/>
      <c r="OWC262" s="169"/>
      <c r="OWD262" s="169"/>
      <c r="OWE262" s="169"/>
      <c r="OWF262" s="169"/>
      <c r="OWG262" s="169"/>
      <c r="OWH262" s="169"/>
      <c r="OWI262" s="169"/>
      <c r="OWJ262" s="169"/>
      <c r="OWK262" s="169"/>
      <c r="OWL262" s="169"/>
      <c r="OWM262" s="169"/>
      <c r="OWN262" s="169"/>
      <c r="OWO262" s="169"/>
      <c r="OWP262" s="169"/>
      <c r="OWQ262" s="169"/>
      <c r="OWR262" s="169"/>
      <c r="OWS262" s="169"/>
      <c r="OWT262" s="169"/>
      <c r="OWU262" s="169"/>
      <c r="OWV262" s="169"/>
      <c r="OWW262" s="169"/>
      <c r="OWX262" s="169"/>
      <c r="OWY262" s="169"/>
      <c r="OWZ262" s="169"/>
      <c r="OXA262" s="169"/>
      <c r="OXB262" s="169"/>
      <c r="OXC262" s="169"/>
      <c r="OXD262" s="169"/>
      <c r="OXE262" s="169"/>
      <c r="OXF262" s="169"/>
      <c r="OXG262" s="169"/>
      <c r="OXH262" s="169"/>
      <c r="OXI262" s="169"/>
      <c r="OXJ262" s="169"/>
      <c r="OXK262" s="169"/>
      <c r="OXL262" s="169"/>
      <c r="OXM262" s="169"/>
      <c r="OXN262" s="169"/>
      <c r="OXO262" s="169"/>
      <c r="OXP262" s="169"/>
      <c r="OXQ262" s="169"/>
      <c r="OXR262" s="169"/>
      <c r="OXS262" s="169"/>
      <c r="OXT262" s="169"/>
      <c r="OXU262" s="169"/>
      <c r="OXV262" s="169"/>
      <c r="OXW262" s="169"/>
      <c r="OXX262" s="169"/>
      <c r="OXY262" s="169"/>
      <c r="OXZ262" s="169"/>
      <c r="OYA262" s="169"/>
      <c r="OYB262" s="169"/>
      <c r="OYC262" s="169"/>
      <c r="OYD262" s="169"/>
      <c r="OYE262" s="169"/>
      <c r="OYF262" s="169"/>
      <c r="OYG262" s="169"/>
      <c r="OYH262" s="169"/>
      <c r="OYI262" s="169"/>
      <c r="OYJ262" s="169"/>
      <c r="OYK262" s="169"/>
      <c r="OYL262" s="169"/>
      <c r="OYM262" s="169"/>
      <c r="OYN262" s="169"/>
      <c r="OYO262" s="169"/>
      <c r="OYP262" s="169"/>
      <c r="OYQ262" s="169"/>
      <c r="OYR262" s="169"/>
      <c r="OYS262" s="169"/>
      <c r="OYT262" s="169"/>
      <c r="OYU262" s="169"/>
      <c r="OYV262" s="169"/>
      <c r="OYW262" s="169"/>
      <c r="OYX262" s="169"/>
      <c r="OYY262" s="169"/>
      <c r="OYZ262" s="169"/>
      <c r="OZA262" s="169"/>
      <c r="OZB262" s="169"/>
      <c r="OZC262" s="169"/>
      <c r="OZD262" s="169"/>
      <c r="OZE262" s="169"/>
      <c r="OZF262" s="169"/>
      <c r="OZG262" s="169"/>
      <c r="OZH262" s="169"/>
      <c r="OZI262" s="169"/>
      <c r="OZJ262" s="169"/>
      <c r="OZK262" s="169"/>
      <c r="OZL262" s="169"/>
      <c r="OZM262" s="169"/>
      <c r="OZN262" s="169"/>
      <c r="OZO262" s="169"/>
      <c r="OZP262" s="169"/>
      <c r="OZQ262" s="169"/>
      <c r="OZR262" s="169"/>
      <c r="OZS262" s="169"/>
      <c r="OZT262" s="169"/>
      <c r="OZU262" s="169"/>
      <c r="OZV262" s="169"/>
      <c r="OZW262" s="169"/>
      <c r="OZX262" s="169"/>
      <c r="OZY262" s="169"/>
      <c r="OZZ262" s="169"/>
      <c r="PAA262" s="169"/>
      <c r="PAB262" s="169"/>
      <c r="PAC262" s="169"/>
      <c r="PAD262" s="169"/>
      <c r="PAE262" s="169"/>
      <c r="PAF262" s="169"/>
      <c r="PAG262" s="169"/>
      <c r="PAH262" s="169"/>
      <c r="PAI262" s="169"/>
      <c r="PAJ262" s="169"/>
      <c r="PAK262" s="169"/>
      <c r="PAL262" s="169"/>
      <c r="PAM262" s="169"/>
      <c r="PAN262" s="169"/>
      <c r="PAO262" s="169"/>
      <c r="PAP262" s="169"/>
      <c r="PAQ262" s="169"/>
      <c r="PAR262" s="169"/>
      <c r="PAS262" s="169"/>
      <c r="PAT262" s="169"/>
      <c r="PAU262" s="169"/>
      <c r="PAV262" s="169"/>
      <c r="PAW262" s="169"/>
      <c r="PAX262" s="169"/>
      <c r="PAY262" s="169"/>
      <c r="PAZ262" s="169"/>
      <c r="PBA262" s="169"/>
      <c r="PBB262" s="169"/>
      <c r="PBC262" s="169"/>
      <c r="PBD262" s="169"/>
      <c r="PBE262" s="169"/>
      <c r="PBF262" s="169"/>
      <c r="PBG262" s="169"/>
      <c r="PBH262" s="169"/>
      <c r="PBI262" s="169"/>
      <c r="PBJ262" s="169"/>
      <c r="PBK262" s="169"/>
      <c r="PBL262" s="169"/>
      <c r="PBM262" s="169"/>
      <c r="PBN262" s="169"/>
      <c r="PBO262" s="169"/>
      <c r="PBP262" s="169"/>
      <c r="PBQ262" s="169"/>
      <c r="PBR262" s="169"/>
      <c r="PBS262" s="169"/>
      <c r="PBT262" s="169"/>
      <c r="PBU262" s="169"/>
      <c r="PBV262" s="169"/>
      <c r="PBW262" s="169"/>
      <c r="PBX262" s="169"/>
      <c r="PBY262" s="169"/>
      <c r="PBZ262" s="169"/>
      <c r="PCA262" s="169"/>
      <c r="PCB262" s="169"/>
      <c r="PCC262" s="169"/>
      <c r="PCD262" s="169"/>
      <c r="PCE262" s="169"/>
      <c r="PCF262" s="169"/>
      <c r="PCG262" s="169"/>
      <c r="PCH262" s="169"/>
      <c r="PCI262" s="169"/>
      <c r="PCJ262" s="169"/>
      <c r="PCK262" s="169"/>
      <c r="PCL262" s="169"/>
      <c r="PCM262" s="169"/>
      <c r="PCN262" s="169"/>
      <c r="PCO262" s="169"/>
      <c r="PCP262" s="169"/>
      <c r="PCQ262" s="169"/>
      <c r="PCR262" s="169"/>
      <c r="PCS262" s="169"/>
      <c r="PCT262" s="169"/>
      <c r="PCU262" s="169"/>
      <c r="PCV262" s="169"/>
      <c r="PCW262" s="169"/>
      <c r="PCX262" s="169"/>
      <c r="PCY262" s="169"/>
      <c r="PCZ262" s="169"/>
      <c r="PDA262" s="169"/>
      <c r="PDB262" s="169"/>
      <c r="PDC262" s="169"/>
      <c r="PDD262" s="169"/>
      <c r="PDE262" s="169"/>
      <c r="PDF262" s="169"/>
      <c r="PDG262" s="169"/>
      <c r="PDH262" s="169"/>
      <c r="PDI262" s="169"/>
      <c r="PDJ262" s="169"/>
      <c r="PDK262" s="169"/>
      <c r="PDL262" s="169"/>
      <c r="PDM262" s="169"/>
      <c r="PDN262" s="169"/>
      <c r="PDO262" s="169"/>
      <c r="PDP262" s="169"/>
      <c r="PDQ262" s="169"/>
      <c r="PDR262" s="169"/>
      <c r="PDS262" s="169"/>
      <c r="PDT262" s="169"/>
      <c r="PDU262" s="169"/>
      <c r="PDV262" s="169"/>
      <c r="PDW262" s="169"/>
      <c r="PDX262" s="169"/>
      <c r="PDY262" s="169"/>
      <c r="PDZ262" s="169"/>
      <c r="PEA262" s="169"/>
      <c r="PEB262" s="169"/>
      <c r="PEC262" s="169"/>
      <c r="PED262" s="169"/>
      <c r="PEE262" s="169"/>
      <c r="PEF262" s="169"/>
      <c r="PEG262" s="169"/>
      <c r="PEH262" s="169"/>
      <c r="PEI262" s="169"/>
      <c r="PEJ262" s="169"/>
      <c r="PEK262" s="169"/>
      <c r="PEL262" s="169"/>
      <c r="PEM262" s="169"/>
      <c r="PEN262" s="169"/>
      <c r="PEO262" s="169"/>
      <c r="PEP262" s="169"/>
      <c r="PEQ262" s="169"/>
      <c r="PER262" s="169"/>
      <c r="PES262" s="169"/>
      <c r="PET262" s="169"/>
      <c r="PEU262" s="169"/>
      <c r="PEV262" s="169"/>
      <c r="PEW262" s="169"/>
      <c r="PEX262" s="169"/>
      <c r="PEY262" s="169"/>
      <c r="PEZ262" s="169"/>
      <c r="PFA262" s="169"/>
      <c r="PFB262" s="169"/>
      <c r="PFC262" s="169"/>
      <c r="PFD262" s="169"/>
      <c r="PFE262" s="169"/>
      <c r="PFF262" s="169"/>
      <c r="PFG262" s="169"/>
      <c r="PFH262" s="169"/>
      <c r="PFI262" s="169"/>
      <c r="PFJ262" s="169"/>
      <c r="PFK262" s="169"/>
      <c r="PFL262" s="169"/>
      <c r="PFM262" s="169"/>
      <c r="PFN262" s="169"/>
      <c r="PFO262" s="169"/>
      <c r="PFP262" s="169"/>
      <c r="PFQ262" s="169"/>
      <c r="PFR262" s="169"/>
      <c r="PFS262" s="169"/>
      <c r="PFT262" s="169"/>
      <c r="PFU262" s="169"/>
      <c r="PFV262" s="169"/>
      <c r="PFW262" s="169"/>
      <c r="PFX262" s="169"/>
      <c r="PFY262" s="169"/>
      <c r="PFZ262" s="169"/>
      <c r="PGA262" s="169"/>
      <c r="PGB262" s="169"/>
      <c r="PGC262" s="169"/>
      <c r="PGD262" s="169"/>
      <c r="PGE262" s="169"/>
      <c r="PGF262" s="169"/>
      <c r="PGG262" s="169"/>
      <c r="PGH262" s="169"/>
      <c r="PGI262" s="169"/>
      <c r="PGJ262" s="169"/>
      <c r="PGK262" s="169"/>
      <c r="PGL262" s="169"/>
      <c r="PGM262" s="169"/>
      <c r="PGN262" s="169"/>
      <c r="PGO262" s="169"/>
      <c r="PGP262" s="169"/>
      <c r="PGQ262" s="169"/>
      <c r="PGR262" s="169"/>
      <c r="PGS262" s="169"/>
      <c r="PGT262" s="169"/>
      <c r="PGU262" s="169"/>
      <c r="PGV262" s="169"/>
      <c r="PGW262" s="169"/>
      <c r="PGX262" s="169"/>
      <c r="PGY262" s="169"/>
      <c r="PGZ262" s="169"/>
      <c r="PHA262" s="169"/>
      <c r="PHB262" s="169"/>
      <c r="PHC262" s="169"/>
      <c r="PHD262" s="169"/>
      <c r="PHE262" s="169"/>
      <c r="PHF262" s="169"/>
      <c r="PHG262" s="169"/>
      <c r="PHH262" s="169"/>
      <c r="PHI262" s="169"/>
      <c r="PHJ262" s="169"/>
      <c r="PHK262" s="169"/>
      <c r="PHL262" s="169"/>
      <c r="PHM262" s="169"/>
      <c r="PHN262" s="169"/>
      <c r="PHO262" s="169"/>
      <c r="PHP262" s="169"/>
      <c r="PHQ262" s="169"/>
      <c r="PHR262" s="169"/>
      <c r="PHS262" s="169"/>
      <c r="PHT262" s="169"/>
      <c r="PHU262" s="169"/>
      <c r="PHV262" s="169"/>
      <c r="PHW262" s="169"/>
      <c r="PHX262" s="169"/>
      <c r="PHY262" s="169"/>
      <c r="PHZ262" s="169"/>
      <c r="PIA262" s="169"/>
      <c r="PIB262" s="169"/>
      <c r="PIC262" s="169"/>
      <c r="PID262" s="169"/>
      <c r="PIE262" s="169"/>
      <c r="PIF262" s="169"/>
      <c r="PIG262" s="169"/>
      <c r="PIH262" s="169"/>
      <c r="PII262" s="169"/>
      <c r="PIJ262" s="169"/>
      <c r="PIK262" s="169"/>
      <c r="PIL262" s="169"/>
      <c r="PIM262" s="169"/>
      <c r="PIN262" s="169"/>
      <c r="PIO262" s="169"/>
      <c r="PIP262" s="169"/>
      <c r="PIQ262" s="169"/>
      <c r="PIR262" s="169"/>
      <c r="PIS262" s="169"/>
      <c r="PIT262" s="169"/>
      <c r="PIU262" s="169"/>
      <c r="PIV262" s="169"/>
      <c r="PIW262" s="169"/>
      <c r="PIX262" s="169"/>
      <c r="PIY262" s="169"/>
      <c r="PIZ262" s="169"/>
      <c r="PJA262" s="169"/>
      <c r="PJB262" s="169"/>
      <c r="PJC262" s="169"/>
      <c r="PJD262" s="169"/>
      <c r="PJE262" s="169"/>
      <c r="PJF262" s="169"/>
      <c r="PJG262" s="169"/>
      <c r="PJH262" s="169"/>
      <c r="PJI262" s="169"/>
      <c r="PJJ262" s="169"/>
      <c r="PJK262" s="169"/>
      <c r="PJL262" s="169"/>
      <c r="PJM262" s="169"/>
      <c r="PJN262" s="169"/>
      <c r="PJO262" s="169"/>
      <c r="PJP262" s="169"/>
      <c r="PJQ262" s="169"/>
      <c r="PJR262" s="169"/>
      <c r="PJS262" s="169"/>
      <c r="PJT262" s="169"/>
      <c r="PJU262" s="169"/>
      <c r="PJV262" s="169"/>
      <c r="PJW262" s="169"/>
      <c r="PJX262" s="169"/>
      <c r="PJY262" s="169"/>
      <c r="PJZ262" s="169"/>
      <c r="PKA262" s="169"/>
      <c r="PKB262" s="169"/>
      <c r="PKC262" s="169"/>
      <c r="PKD262" s="169"/>
      <c r="PKE262" s="169"/>
      <c r="PKF262" s="169"/>
      <c r="PKG262" s="169"/>
      <c r="PKH262" s="169"/>
      <c r="PKI262" s="169"/>
      <c r="PKJ262" s="169"/>
      <c r="PKK262" s="169"/>
      <c r="PKL262" s="169"/>
      <c r="PKM262" s="169"/>
      <c r="PKN262" s="169"/>
      <c r="PKO262" s="169"/>
      <c r="PKP262" s="169"/>
      <c r="PKQ262" s="169"/>
      <c r="PKR262" s="169"/>
      <c r="PKS262" s="169"/>
      <c r="PKT262" s="169"/>
      <c r="PKU262" s="169"/>
      <c r="PKV262" s="169"/>
      <c r="PKW262" s="169"/>
      <c r="PKX262" s="169"/>
      <c r="PKY262" s="169"/>
      <c r="PKZ262" s="169"/>
      <c r="PLA262" s="169"/>
      <c r="PLB262" s="169"/>
      <c r="PLC262" s="169"/>
      <c r="PLD262" s="169"/>
      <c r="PLE262" s="169"/>
      <c r="PLF262" s="169"/>
      <c r="PLG262" s="169"/>
      <c r="PLH262" s="169"/>
      <c r="PLI262" s="169"/>
      <c r="PLJ262" s="169"/>
      <c r="PLK262" s="169"/>
      <c r="PLL262" s="169"/>
      <c r="PLM262" s="169"/>
      <c r="PLN262" s="169"/>
      <c r="PLO262" s="169"/>
      <c r="PLP262" s="169"/>
      <c r="PLQ262" s="169"/>
      <c r="PLR262" s="169"/>
      <c r="PLS262" s="169"/>
      <c r="PLT262" s="169"/>
      <c r="PLU262" s="169"/>
      <c r="PLV262" s="169"/>
      <c r="PLW262" s="169"/>
      <c r="PLX262" s="169"/>
      <c r="PLY262" s="169"/>
      <c r="PLZ262" s="169"/>
      <c r="PMA262" s="169"/>
      <c r="PMB262" s="169"/>
      <c r="PMC262" s="169"/>
      <c r="PMD262" s="169"/>
      <c r="PME262" s="169"/>
      <c r="PMF262" s="169"/>
      <c r="PMG262" s="169"/>
      <c r="PMH262" s="169"/>
      <c r="PMI262" s="169"/>
      <c r="PMJ262" s="169"/>
      <c r="PMK262" s="169"/>
      <c r="PML262" s="169"/>
      <c r="PMM262" s="169"/>
      <c r="PMN262" s="169"/>
      <c r="PMO262" s="169"/>
      <c r="PMP262" s="169"/>
      <c r="PMQ262" s="169"/>
      <c r="PMR262" s="169"/>
      <c r="PMS262" s="169"/>
      <c r="PMT262" s="169"/>
      <c r="PMU262" s="169"/>
      <c r="PMV262" s="169"/>
      <c r="PMW262" s="169"/>
      <c r="PMX262" s="169"/>
      <c r="PMY262" s="169"/>
      <c r="PMZ262" s="169"/>
      <c r="PNA262" s="169"/>
      <c r="PNB262" s="169"/>
      <c r="PNC262" s="169"/>
      <c r="PND262" s="169"/>
      <c r="PNE262" s="169"/>
      <c r="PNF262" s="169"/>
      <c r="PNG262" s="169"/>
      <c r="PNH262" s="169"/>
      <c r="PNI262" s="169"/>
      <c r="PNJ262" s="169"/>
      <c r="PNK262" s="169"/>
      <c r="PNL262" s="169"/>
      <c r="PNM262" s="169"/>
      <c r="PNN262" s="169"/>
      <c r="PNO262" s="169"/>
      <c r="PNP262" s="169"/>
      <c r="PNQ262" s="169"/>
      <c r="PNR262" s="169"/>
      <c r="PNS262" s="169"/>
      <c r="PNT262" s="169"/>
      <c r="PNU262" s="169"/>
      <c r="PNV262" s="169"/>
      <c r="PNW262" s="169"/>
      <c r="PNX262" s="169"/>
      <c r="PNY262" s="169"/>
      <c r="PNZ262" s="169"/>
      <c r="POA262" s="169"/>
      <c r="POB262" s="169"/>
      <c r="POC262" s="169"/>
      <c r="POD262" s="169"/>
      <c r="POE262" s="169"/>
      <c r="POF262" s="169"/>
      <c r="POG262" s="169"/>
      <c r="POH262" s="169"/>
      <c r="POI262" s="169"/>
      <c r="POJ262" s="169"/>
      <c r="POK262" s="169"/>
      <c r="POL262" s="169"/>
      <c r="POM262" s="169"/>
      <c r="PON262" s="169"/>
      <c r="POO262" s="169"/>
      <c r="POP262" s="169"/>
      <c r="POQ262" s="169"/>
      <c r="POR262" s="169"/>
      <c r="POS262" s="169"/>
      <c r="POT262" s="169"/>
      <c r="POU262" s="169"/>
      <c r="POV262" s="169"/>
      <c r="POW262" s="169"/>
      <c r="POX262" s="169"/>
      <c r="POY262" s="169"/>
      <c r="POZ262" s="169"/>
      <c r="PPA262" s="169"/>
      <c r="PPB262" s="169"/>
      <c r="PPC262" s="169"/>
      <c r="PPD262" s="169"/>
      <c r="PPE262" s="169"/>
      <c r="PPF262" s="169"/>
      <c r="PPG262" s="169"/>
      <c r="PPH262" s="169"/>
      <c r="PPI262" s="169"/>
      <c r="PPJ262" s="169"/>
      <c r="PPK262" s="169"/>
      <c r="PPL262" s="169"/>
      <c r="PPM262" s="169"/>
      <c r="PPN262" s="169"/>
      <c r="PPO262" s="169"/>
      <c r="PPP262" s="169"/>
      <c r="PPQ262" s="169"/>
      <c r="PPR262" s="169"/>
      <c r="PPS262" s="169"/>
      <c r="PPT262" s="169"/>
      <c r="PPU262" s="169"/>
      <c r="PPV262" s="169"/>
      <c r="PPW262" s="169"/>
      <c r="PPX262" s="169"/>
      <c r="PPY262" s="169"/>
      <c r="PPZ262" s="169"/>
      <c r="PQA262" s="169"/>
      <c r="PQB262" s="169"/>
      <c r="PQC262" s="169"/>
      <c r="PQD262" s="169"/>
      <c r="PQE262" s="169"/>
      <c r="PQF262" s="169"/>
      <c r="PQG262" s="169"/>
      <c r="PQH262" s="169"/>
      <c r="PQI262" s="169"/>
      <c r="PQJ262" s="169"/>
      <c r="PQK262" s="169"/>
      <c r="PQL262" s="169"/>
      <c r="PQM262" s="169"/>
      <c r="PQN262" s="169"/>
      <c r="PQO262" s="169"/>
      <c r="PQP262" s="169"/>
      <c r="PQQ262" s="169"/>
      <c r="PQR262" s="169"/>
      <c r="PQS262" s="169"/>
      <c r="PQT262" s="169"/>
      <c r="PQU262" s="169"/>
      <c r="PQV262" s="169"/>
      <c r="PQW262" s="169"/>
      <c r="PQX262" s="169"/>
      <c r="PQY262" s="169"/>
      <c r="PQZ262" s="169"/>
      <c r="PRA262" s="169"/>
      <c r="PRB262" s="169"/>
      <c r="PRC262" s="169"/>
      <c r="PRD262" s="169"/>
      <c r="PRE262" s="169"/>
      <c r="PRF262" s="169"/>
      <c r="PRG262" s="169"/>
      <c r="PRH262" s="169"/>
      <c r="PRI262" s="169"/>
      <c r="PRJ262" s="169"/>
      <c r="PRK262" s="169"/>
      <c r="PRL262" s="169"/>
      <c r="PRM262" s="169"/>
      <c r="PRN262" s="169"/>
      <c r="PRO262" s="169"/>
      <c r="PRP262" s="169"/>
      <c r="PRQ262" s="169"/>
      <c r="PRR262" s="169"/>
      <c r="PRS262" s="169"/>
      <c r="PRT262" s="169"/>
      <c r="PRU262" s="169"/>
      <c r="PRV262" s="169"/>
      <c r="PRW262" s="169"/>
      <c r="PRX262" s="169"/>
      <c r="PRY262" s="169"/>
      <c r="PRZ262" s="169"/>
      <c r="PSA262" s="169"/>
      <c r="PSB262" s="169"/>
      <c r="PSC262" s="169"/>
      <c r="PSD262" s="169"/>
      <c r="PSE262" s="169"/>
      <c r="PSF262" s="169"/>
      <c r="PSG262" s="169"/>
      <c r="PSH262" s="169"/>
      <c r="PSI262" s="169"/>
      <c r="PSJ262" s="169"/>
      <c r="PSK262" s="169"/>
      <c r="PSL262" s="169"/>
      <c r="PSM262" s="169"/>
      <c r="PSN262" s="169"/>
      <c r="PSO262" s="169"/>
      <c r="PSP262" s="169"/>
      <c r="PSQ262" s="169"/>
      <c r="PSR262" s="169"/>
      <c r="PSS262" s="169"/>
      <c r="PST262" s="169"/>
      <c r="PSU262" s="169"/>
      <c r="PSV262" s="169"/>
      <c r="PSW262" s="169"/>
      <c r="PSX262" s="169"/>
      <c r="PSY262" s="169"/>
      <c r="PSZ262" s="169"/>
      <c r="PTA262" s="169"/>
      <c r="PTB262" s="169"/>
      <c r="PTC262" s="169"/>
      <c r="PTD262" s="169"/>
      <c r="PTE262" s="169"/>
      <c r="PTF262" s="169"/>
      <c r="PTG262" s="169"/>
      <c r="PTH262" s="169"/>
      <c r="PTI262" s="169"/>
      <c r="PTJ262" s="169"/>
      <c r="PTK262" s="169"/>
      <c r="PTL262" s="169"/>
      <c r="PTM262" s="169"/>
      <c r="PTN262" s="169"/>
      <c r="PTO262" s="169"/>
      <c r="PTP262" s="169"/>
      <c r="PTQ262" s="169"/>
      <c r="PTR262" s="169"/>
      <c r="PTS262" s="169"/>
      <c r="PTT262" s="169"/>
      <c r="PTU262" s="169"/>
      <c r="PTV262" s="169"/>
      <c r="PTW262" s="169"/>
      <c r="PTX262" s="169"/>
      <c r="PTY262" s="169"/>
      <c r="PTZ262" s="169"/>
      <c r="PUA262" s="169"/>
      <c r="PUB262" s="169"/>
      <c r="PUC262" s="169"/>
      <c r="PUD262" s="169"/>
      <c r="PUE262" s="169"/>
      <c r="PUF262" s="169"/>
      <c r="PUG262" s="169"/>
      <c r="PUH262" s="169"/>
      <c r="PUI262" s="169"/>
      <c r="PUJ262" s="169"/>
      <c r="PUK262" s="169"/>
      <c r="PUL262" s="169"/>
      <c r="PUM262" s="169"/>
      <c r="PUN262" s="169"/>
      <c r="PUO262" s="169"/>
      <c r="PUP262" s="169"/>
      <c r="PUQ262" s="169"/>
      <c r="PUR262" s="169"/>
      <c r="PUS262" s="169"/>
      <c r="PUT262" s="169"/>
      <c r="PUU262" s="169"/>
      <c r="PUV262" s="169"/>
      <c r="PUW262" s="169"/>
      <c r="PUX262" s="169"/>
      <c r="PUY262" s="169"/>
      <c r="PUZ262" s="169"/>
      <c r="PVA262" s="169"/>
      <c r="PVB262" s="169"/>
      <c r="PVC262" s="169"/>
      <c r="PVD262" s="169"/>
      <c r="PVE262" s="169"/>
      <c r="PVF262" s="169"/>
      <c r="PVG262" s="169"/>
      <c r="PVH262" s="169"/>
      <c r="PVI262" s="169"/>
      <c r="PVJ262" s="169"/>
      <c r="PVK262" s="169"/>
      <c r="PVL262" s="169"/>
      <c r="PVM262" s="169"/>
      <c r="PVN262" s="169"/>
      <c r="PVO262" s="169"/>
      <c r="PVP262" s="169"/>
      <c r="PVQ262" s="169"/>
      <c r="PVR262" s="169"/>
      <c r="PVS262" s="169"/>
      <c r="PVT262" s="169"/>
      <c r="PVU262" s="169"/>
      <c r="PVV262" s="169"/>
      <c r="PVW262" s="169"/>
      <c r="PVX262" s="169"/>
      <c r="PVY262" s="169"/>
      <c r="PVZ262" s="169"/>
      <c r="PWA262" s="169"/>
      <c r="PWB262" s="169"/>
      <c r="PWC262" s="169"/>
      <c r="PWD262" s="169"/>
      <c r="PWE262" s="169"/>
      <c r="PWF262" s="169"/>
      <c r="PWG262" s="169"/>
      <c r="PWH262" s="169"/>
      <c r="PWI262" s="169"/>
      <c r="PWJ262" s="169"/>
      <c r="PWK262" s="169"/>
      <c r="PWL262" s="169"/>
      <c r="PWM262" s="169"/>
      <c r="PWN262" s="169"/>
      <c r="PWO262" s="169"/>
      <c r="PWP262" s="169"/>
      <c r="PWQ262" s="169"/>
      <c r="PWR262" s="169"/>
      <c r="PWS262" s="169"/>
      <c r="PWT262" s="169"/>
      <c r="PWU262" s="169"/>
      <c r="PWV262" s="169"/>
      <c r="PWW262" s="169"/>
      <c r="PWX262" s="169"/>
      <c r="PWY262" s="169"/>
      <c r="PWZ262" s="169"/>
      <c r="PXA262" s="169"/>
      <c r="PXB262" s="169"/>
      <c r="PXC262" s="169"/>
      <c r="PXD262" s="169"/>
      <c r="PXE262" s="169"/>
      <c r="PXF262" s="169"/>
      <c r="PXG262" s="169"/>
      <c r="PXH262" s="169"/>
      <c r="PXI262" s="169"/>
      <c r="PXJ262" s="169"/>
      <c r="PXK262" s="169"/>
      <c r="PXL262" s="169"/>
      <c r="PXM262" s="169"/>
      <c r="PXN262" s="169"/>
      <c r="PXO262" s="169"/>
      <c r="PXP262" s="169"/>
      <c r="PXQ262" s="169"/>
      <c r="PXR262" s="169"/>
      <c r="PXS262" s="169"/>
      <c r="PXT262" s="169"/>
      <c r="PXU262" s="169"/>
      <c r="PXV262" s="169"/>
      <c r="PXW262" s="169"/>
      <c r="PXX262" s="169"/>
      <c r="PXY262" s="169"/>
      <c r="PXZ262" s="169"/>
      <c r="PYA262" s="169"/>
      <c r="PYB262" s="169"/>
      <c r="PYC262" s="169"/>
      <c r="PYD262" s="169"/>
      <c r="PYE262" s="169"/>
      <c r="PYF262" s="169"/>
      <c r="PYG262" s="169"/>
      <c r="PYH262" s="169"/>
      <c r="PYI262" s="169"/>
      <c r="PYJ262" s="169"/>
      <c r="PYK262" s="169"/>
      <c r="PYL262" s="169"/>
      <c r="PYM262" s="169"/>
      <c r="PYN262" s="169"/>
      <c r="PYO262" s="169"/>
      <c r="PYP262" s="169"/>
      <c r="PYQ262" s="169"/>
      <c r="PYR262" s="169"/>
      <c r="PYS262" s="169"/>
      <c r="PYT262" s="169"/>
      <c r="PYU262" s="169"/>
      <c r="PYV262" s="169"/>
      <c r="PYW262" s="169"/>
      <c r="PYX262" s="169"/>
      <c r="PYY262" s="169"/>
      <c r="PYZ262" s="169"/>
      <c r="PZA262" s="169"/>
      <c r="PZB262" s="169"/>
      <c r="PZC262" s="169"/>
      <c r="PZD262" s="169"/>
      <c r="PZE262" s="169"/>
      <c r="PZF262" s="169"/>
      <c r="PZG262" s="169"/>
      <c r="PZH262" s="169"/>
      <c r="PZI262" s="169"/>
      <c r="PZJ262" s="169"/>
      <c r="PZK262" s="169"/>
      <c r="PZL262" s="169"/>
      <c r="PZM262" s="169"/>
      <c r="PZN262" s="169"/>
      <c r="PZO262" s="169"/>
      <c r="PZP262" s="169"/>
      <c r="PZQ262" s="169"/>
      <c r="PZR262" s="169"/>
      <c r="PZS262" s="169"/>
      <c r="PZT262" s="169"/>
      <c r="PZU262" s="169"/>
      <c r="PZV262" s="169"/>
      <c r="PZW262" s="169"/>
      <c r="PZX262" s="169"/>
      <c r="PZY262" s="169"/>
      <c r="PZZ262" s="169"/>
      <c r="QAA262" s="169"/>
      <c r="QAB262" s="169"/>
      <c r="QAC262" s="169"/>
      <c r="QAD262" s="169"/>
      <c r="QAE262" s="169"/>
      <c r="QAF262" s="169"/>
      <c r="QAG262" s="169"/>
      <c r="QAH262" s="169"/>
      <c r="QAI262" s="169"/>
      <c r="QAJ262" s="169"/>
      <c r="QAK262" s="169"/>
      <c r="QAL262" s="169"/>
      <c r="QAM262" s="169"/>
      <c r="QAN262" s="169"/>
      <c r="QAO262" s="169"/>
      <c r="QAP262" s="169"/>
      <c r="QAQ262" s="169"/>
      <c r="QAR262" s="169"/>
      <c r="QAS262" s="169"/>
      <c r="QAT262" s="169"/>
      <c r="QAU262" s="169"/>
      <c r="QAV262" s="169"/>
      <c r="QAW262" s="169"/>
      <c r="QAX262" s="169"/>
      <c r="QAY262" s="169"/>
      <c r="QAZ262" s="169"/>
      <c r="QBA262" s="169"/>
      <c r="QBB262" s="169"/>
      <c r="QBC262" s="169"/>
      <c r="QBD262" s="169"/>
      <c r="QBE262" s="169"/>
      <c r="QBF262" s="169"/>
      <c r="QBG262" s="169"/>
      <c r="QBH262" s="169"/>
      <c r="QBI262" s="169"/>
      <c r="QBJ262" s="169"/>
      <c r="QBK262" s="169"/>
      <c r="QBL262" s="169"/>
      <c r="QBM262" s="169"/>
      <c r="QBN262" s="169"/>
      <c r="QBO262" s="169"/>
      <c r="QBP262" s="169"/>
      <c r="QBQ262" s="169"/>
      <c r="QBR262" s="169"/>
      <c r="QBS262" s="169"/>
      <c r="QBT262" s="169"/>
      <c r="QBU262" s="169"/>
      <c r="QBV262" s="169"/>
      <c r="QBW262" s="169"/>
      <c r="QBX262" s="169"/>
      <c r="QBY262" s="169"/>
      <c r="QBZ262" s="169"/>
      <c r="QCA262" s="169"/>
      <c r="QCB262" s="169"/>
      <c r="QCC262" s="169"/>
      <c r="QCD262" s="169"/>
      <c r="QCE262" s="169"/>
      <c r="QCF262" s="169"/>
      <c r="QCG262" s="169"/>
      <c r="QCH262" s="169"/>
      <c r="QCI262" s="169"/>
      <c r="QCJ262" s="169"/>
      <c r="QCK262" s="169"/>
      <c r="QCL262" s="169"/>
      <c r="QCM262" s="169"/>
      <c r="QCN262" s="169"/>
      <c r="QCO262" s="169"/>
      <c r="QCP262" s="169"/>
      <c r="QCQ262" s="169"/>
      <c r="QCR262" s="169"/>
      <c r="QCS262" s="169"/>
      <c r="QCT262" s="169"/>
      <c r="QCU262" s="169"/>
      <c r="QCV262" s="169"/>
      <c r="QCW262" s="169"/>
      <c r="QCX262" s="169"/>
      <c r="QCY262" s="169"/>
      <c r="QCZ262" s="169"/>
      <c r="QDA262" s="169"/>
      <c r="QDB262" s="169"/>
      <c r="QDC262" s="169"/>
      <c r="QDD262" s="169"/>
      <c r="QDE262" s="169"/>
      <c r="QDF262" s="169"/>
      <c r="QDG262" s="169"/>
      <c r="QDH262" s="169"/>
      <c r="QDI262" s="169"/>
      <c r="QDJ262" s="169"/>
      <c r="QDK262" s="169"/>
      <c r="QDL262" s="169"/>
      <c r="QDM262" s="169"/>
      <c r="QDN262" s="169"/>
      <c r="QDO262" s="169"/>
      <c r="QDP262" s="169"/>
      <c r="QDQ262" s="169"/>
      <c r="QDR262" s="169"/>
      <c r="QDS262" s="169"/>
      <c r="QDT262" s="169"/>
      <c r="QDU262" s="169"/>
      <c r="QDV262" s="169"/>
      <c r="QDW262" s="169"/>
      <c r="QDX262" s="169"/>
      <c r="QDY262" s="169"/>
      <c r="QDZ262" s="169"/>
      <c r="QEA262" s="169"/>
      <c r="QEB262" s="169"/>
      <c r="QEC262" s="169"/>
      <c r="QED262" s="169"/>
      <c r="QEE262" s="169"/>
      <c r="QEF262" s="169"/>
      <c r="QEG262" s="169"/>
      <c r="QEH262" s="169"/>
      <c r="QEI262" s="169"/>
      <c r="QEJ262" s="169"/>
      <c r="QEK262" s="169"/>
      <c r="QEL262" s="169"/>
      <c r="QEM262" s="169"/>
      <c r="QEN262" s="169"/>
      <c r="QEO262" s="169"/>
      <c r="QEP262" s="169"/>
      <c r="QEQ262" s="169"/>
      <c r="QER262" s="169"/>
      <c r="QES262" s="169"/>
      <c r="QET262" s="169"/>
      <c r="QEU262" s="169"/>
      <c r="QEV262" s="169"/>
      <c r="QEW262" s="169"/>
      <c r="QEX262" s="169"/>
      <c r="QEY262" s="169"/>
      <c r="QEZ262" s="169"/>
      <c r="QFA262" s="169"/>
      <c r="QFB262" s="169"/>
      <c r="QFC262" s="169"/>
      <c r="QFD262" s="169"/>
      <c r="QFE262" s="169"/>
      <c r="QFF262" s="169"/>
      <c r="QFG262" s="169"/>
      <c r="QFH262" s="169"/>
      <c r="QFI262" s="169"/>
      <c r="QFJ262" s="169"/>
      <c r="QFK262" s="169"/>
      <c r="QFL262" s="169"/>
      <c r="QFM262" s="169"/>
      <c r="QFN262" s="169"/>
      <c r="QFO262" s="169"/>
      <c r="QFP262" s="169"/>
      <c r="QFQ262" s="169"/>
      <c r="QFR262" s="169"/>
      <c r="QFS262" s="169"/>
      <c r="QFT262" s="169"/>
      <c r="QFU262" s="169"/>
      <c r="QFV262" s="169"/>
      <c r="QFW262" s="169"/>
      <c r="QFX262" s="169"/>
      <c r="QFY262" s="169"/>
      <c r="QFZ262" s="169"/>
      <c r="QGA262" s="169"/>
      <c r="QGB262" s="169"/>
      <c r="QGC262" s="169"/>
      <c r="QGD262" s="169"/>
      <c r="QGE262" s="169"/>
      <c r="QGF262" s="169"/>
      <c r="QGG262" s="169"/>
      <c r="QGH262" s="169"/>
      <c r="QGI262" s="169"/>
      <c r="QGJ262" s="169"/>
      <c r="QGK262" s="169"/>
      <c r="QGL262" s="169"/>
      <c r="QGM262" s="169"/>
      <c r="QGN262" s="169"/>
      <c r="QGO262" s="169"/>
      <c r="QGP262" s="169"/>
      <c r="QGQ262" s="169"/>
      <c r="QGR262" s="169"/>
      <c r="QGS262" s="169"/>
      <c r="QGT262" s="169"/>
      <c r="QGU262" s="169"/>
      <c r="QGV262" s="169"/>
      <c r="QGW262" s="169"/>
      <c r="QGX262" s="169"/>
      <c r="QGY262" s="169"/>
      <c r="QGZ262" s="169"/>
      <c r="QHA262" s="169"/>
      <c r="QHB262" s="169"/>
      <c r="QHC262" s="169"/>
      <c r="QHD262" s="169"/>
      <c r="QHE262" s="169"/>
      <c r="QHF262" s="169"/>
      <c r="QHG262" s="169"/>
      <c r="QHH262" s="169"/>
      <c r="QHI262" s="169"/>
      <c r="QHJ262" s="169"/>
      <c r="QHK262" s="169"/>
      <c r="QHL262" s="169"/>
      <c r="QHM262" s="169"/>
      <c r="QHN262" s="169"/>
      <c r="QHO262" s="169"/>
      <c r="QHP262" s="169"/>
      <c r="QHQ262" s="169"/>
      <c r="QHR262" s="169"/>
      <c r="QHS262" s="169"/>
      <c r="QHT262" s="169"/>
      <c r="QHU262" s="169"/>
      <c r="QHV262" s="169"/>
      <c r="QHW262" s="169"/>
      <c r="QHX262" s="169"/>
      <c r="QHY262" s="169"/>
      <c r="QHZ262" s="169"/>
      <c r="QIA262" s="169"/>
      <c r="QIB262" s="169"/>
      <c r="QIC262" s="169"/>
      <c r="QID262" s="169"/>
      <c r="QIE262" s="169"/>
      <c r="QIF262" s="169"/>
      <c r="QIG262" s="169"/>
      <c r="QIH262" s="169"/>
      <c r="QII262" s="169"/>
      <c r="QIJ262" s="169"/>
      <c r="QIK262" s="169"/>
      <c r="QIL262" s="169"/>
      <c r="QIM262" s="169"/>
      <c r="QIN262" s="169"/>
      <c r="QIO262" s="169"/>
      <c r="QIP262" s="169"/>
      <c r="QIQ262" s="169"/>
      <c r="QIR262" s="169"/>
      <c r="QIS262" s="169"/>
      <c r="QIT262" s="169"/>
      <c r="QIU262" s="169"/>
      <c r="QIV262" s="169"/>
      <c r="QIW262" s="169"/>
      <c r="QIX262" s="169"/>
      <c r="QIY262" s="169"/>
      <c r="QIZ262" s="169"/>
      <c r="QJA262" s="169"/>
      <c r="QJB262" s="169"/>
      <c r="QJC262" s="169"/>
      <c r="QJD262" s="169"/>
      <c r="QJE262" s="169"/>
      <c r="QJF262" s="169"/>
      <c r="QJG262" s="169"/>
      <c r="QJH262" s="169"/>
      <c r="QJI262" s="169"/>
      <c r="QJJ262" s="169"/>
      <c r="QJK262" s="169"/>
      <c r="QJL262" s="169"/>
      <c r="QJM262" s="169"/>
      <c r="QJN262" s="169"/>
      <c r="QJO262" s="169"/>
      <c r="QJP262" s="169"/>
      <c r="QJQ262" s="169"/>
      <c r="QJR262" s="169"/>
      <c r="QJS262" s="169"/>
      <c r="QJT262" s="169"/>
      <c r="QJU262" s="169"/>
      <c r="QJV262" s="169"/>
      <c r="QJW262" s="169"/>
      <c r="QJX262" s="169"/>
      <c r="QJY262" s="169"/>
      <c r="QJZ262" s="169"/>
      <c r="QKA262" s="169"/>
      <c r="QKB262" s="169"/>
      <c r="QKC262" s="169"/>
      <c r="QKD262" s="169"/>
      <c r="QKE262" s="169"/>
      <c r="QKF262" s="169"/>
      <c r="QKG262" s="169"/>
      <c r="QKH262" s="169"/>
      <c r="QKI262" s="169"/>
      <c r="QKJ262" s="169"/>
      <c r="QKK262" s="169"/>
      <c r="QKL262" s="169"/>
      <c r="QKM262" s="169"/>
      <c r="QKN262" s="169"/>
      <c r="QKO262" s="169"/>
      <c r="QKP262" s="169"/>
      <c r="QKQ262" s="169"/>
      <c r="QKR262" s="169"/>
      <c r="QKS262" s="169"/>
      <c r="QKT262" s="169"/>
      <c r="QKU262" s="169"/>
      <c r="QKV262" s="169"/>
      <c r="QKW262" s="169"/>
      <c r="QKX262" s="169"/>
      <c r="QKY262" s="169"/>
      <c r="QKZ262" s="169"/>
      <c r="QLA262" s="169"/>
      <c r="QLB262" s="169"/>
      <c r="QLC262" s="169"/>
      <c r="QLD262" s="169"/>
      <c r="QLE262" s="169"/>
      <c r="QLF262" s="169"/>
      <c r="QLG262" s="169"/>
      <c r="QLH262" s="169"/>
      <c r="QLI262" s="169"/>
      <c r="QLJ262" s="169"/>
      <c r="QLK262" s="169"/>
      <c r="QLL262" s="169"/>
      <c r="QLM262" s="169"/>
      <c r="QLN262" s="169"/>
      <c r="QLO262" s="169"/>
      <c r="QLP262" s="169"/>
      <c r="QLQ262" s="169"/>
      <c r="QLR262" s="169"/>
      <c r="QLS262" s="169"/>
      <c r="QLT262" s="169"/>
      <c r="QLU262" s="169"/>
      <c r="QLV262" s="169"/>
      <c r="QLW262" s="169"/>
      <c r="QLX262" s="169"/>
      <c r="QLY262" s="169"/>
      <c r="QLZ262" s="169"/>
      <c r="QMA262" s="169"/>
      <c r="QMB262" s="169"/>
      <c r="QMC262" s="169"/>
      <c r="QMD262" s="169"/>
      <c r="QME262" s="169"/>
      <c r="QMF262" s="169"/>
      <c r="QMG262" s="169"/>
      <c r="QMH262" s="169"/>
      <c r="QMI262" s="169"/>
      <c r="QMJ262" s="169"/>
      <c r="QMK262" s="169"/>
      <c r="QML262" s="169"/>
      <c r="QMM262" s="169"/>
      <c r="QMN262" s="169"/>
      <c r="QMO262" s="169"/>
      <c r="QMP262" s="169"/>
      <c r="QMQ262" s="169"/>
      <c r="QMR262" s="169"/>
      <c r="QMS262" s="169"/>
      <c r="QMT262" s="169"/>
      <c r="QMU262" s="169"/>
      <c r="QMV262" s="169"/>
      <c r="QMW262" s="169"/>
      <c r="QMX262" s="169"/>
      <c r="QMY262" s="169"/>
      <c r="QMZ262" s="169"/>
      <c r="QNA262" s="169"/>
      <c r="QNB262" s="169"/>
      <c r="QNC262" s="169"/>
      <c r="QND262" s="169"/>
      <c r="QNE262" s="169"/>
      <c r="QNF262" s="169"/>
      <c r="QNG262" s="169"/>
      <c r="QNH262" s="169"/>
      <c r="QNI262" s="169"/>
      <c r="QNJ262" s="169"/>
      <c r="QNK262" s="169"/>
      <c r="QNL262" s="169"/>
      <c r="QNM262" s="169"/>
      <c r="QNN262" s="169"/>
      <c r="QNO262" s="169"/>
      <c r="QNP262" s="169"/>
      <c r="QNQ262" s="169"/>
      <c r="QNR262" s="169"/>
      <c r="QNS262" s="169"/>
      <c r="QNT262" s="169"/>
      <c r="QNU262" s="169"/>
      <c r="QNV262" s="169"/>
      <c r="QNW262" s="169"/>
      <c r="QNX262" s="169"/>
      <c r="QNY262" s="169"/>
      <c r="QNZ262" s="169"/>
      <c r="QOA262" s="169"/>
      <c r="QOB262" s="169"/>
      <c r="QOC262" s="169"/>
      <c r="QOD262" s="169"/>
      <c r="QOE262" s="169"/>
      <c r="QOF262" s="169"/>
      <c r="QOG262" s="169"/>
      <c r="QOH262" s="169"/>
      <c r="QOI262" s="169"/>
      <c r="QOJ262" s="169"/>
      <c r="QOK262" s="169"/>
      <c r="QOL262" s="169"/>
      <c r="QOM262" s="169"/>
      <c r="QON262" s="169"/>
      <c r="QOO262" s="169"/>
      <c r="QOP262" s="169"/>
      <c r="QOQ262" s="169"/>
      <c r="QOR262" s="169"/>
      <c r="QOS262" s="169"/>
      <c r="QOT262" s="169"/>
      <c r="QOU262" s="169"/>
      <c r="QOV262" s="169"/>
      <c r="QOW262" s="169"/>
      <c r="QOX262" s="169"/>
      <c r="QOY262" s="169"/>
      <c r="QOZ262" s="169"/>
      <c r="QPA262" s="169"/>
      <c r="QPB262" s="169"/>
      <c r="QPC262" s="169"/>
      <c r="QPD262" s="169"/>
      <c r="QPE262" s="169"/>
      <c r="QPF262" s="169"/>
      <c r="QPG262" s="169"/>
      <c r="QPH262" s="169"/>
      <c r="QPI262" s="169"/>
      <c r="QPJ262" s="169"/>
      <c r="QPK262" s="169"/>
      <c r="QPL262" s="169"/>
      <c r="QPM262" s="169"/>
      <c r="QPN262" s="169"/>
      <c r="QPO262" s="169"/>
      <c r="QPP262" s="169"/>
      <c r="QPQ262" s="169"/>
      <c r="QPR262" s="169"/>
      <c r="QPS262" s="169"/>
      <c r="QPT262" s="169"/>
      <c r="QPU262" s="169"/>
      <c r="QPV262" s="169"/>
      <c r="QPW262" s="169"/>
      <c r="QPX262" s="169"/>
      <c r="QPY262" s="169"/>
      <c r="QPZ262" s="169"/>
      <c r="QQA262" s="169"/>
      <c r="QQB262" s="169"/>
      <c r="QQC262" s="169"/>
      <c r="QQD262" s="169"/>
      <c r="QQE262" s="169"/>
      <c r="QQF262" s="169"/>
      <c r="QQG262" s="169"/>
      <c r="QQH262" s="169"/>
      <c r="QQI262" s="169"/>
      <c r="QQJ262" s="169"/>
      <c r="QQK262" s="169"/>
      <c r="QQL262" s="169"/>
      <c r="QQM262" s="169"/>
      <c r="QQN262" s="169"/>
      <c r="QQO262" s="169"/>
      <c r="QQP262" s="169"/>
      <c r="QQQ262" s="169"/>
      <c r="QQR262" s="169"/>
      <c r="QQS262" s="169"/>
      <c r="QQT262" s="169"/>
      <c r="QQU262" s="169"/>
      <c r="QQV262" s="169"/>
      <c r="QQW262" s="169"/>
      <c r="QQX262" s="169"/>
      <c r="QQY262" s="169"/>
      <c r="QQZ262" s="169"/>
      <c r="QRA262" s="169"/>
      <c r="QRB262" s="169"/>
      <c r="QRC262" s="169"/>
      <c r="QRD262" s="169"/>
      <c r="QRE262" s="169"/>
      <c r="QRF262" s="169"/>
      <c r="QRG262" s="169"/>
      <c r="QRH262" s="169"/>
      <c r="QRI262" s="169"/>
      <c r="QRJ262" s="169"/>
      <c r="QRK262" s="169"/>
      <c r="QRL262" s="169"/>
      <c r="QRM262" s="169"/>
      <c r="QRN262" s="169"/>
      <c r="QRO262" s="169"/>
      <c r="QRP262" s="169"/>
      <c r="QRQ262" s="169"/>
      <c r="QRR262" s="169"/>
      <c r="QRS262" s="169"/>
      <c r="QRT262" s="169"/>
      <c r="QRU262" s="169"/>
      <c r="QRV262" s="169"/>
      <c r="QRW262" s="169"/>
      <c r="QRX262" s="169"/>
      <c r="QRY262" s="169"/>
      <c r="QRZ262" s="169"/>
      <c r="QSA262" s="169"/>
      <c r="QSB262" s="169"/>
      <c r="QSC262" s="169"/>
      <c r="QSD262" s="169"/>
      <c r="QSE262" s="169"/>
      <c r="QSF262" s="169"/>
      <c r="QSG262" s="169"/>
      <c r="QSH262" s="169"/>
      <c r="QSI262" s="169"/>
      <c r="QSJ262" s="169"/>
      <c r="QSK262" s="169"/>
      <c r="QSL262" s="169"/>
      <c r="QSM262" s="169"/>
      <c r="QSN262" s="169"/>
      <c r="QSO262" s="169"/>
      <c r="QSP262" s="169"/>
      <c r="QSQ262" s="169"/>
      <c r="QSR262" s="169"/>
      <c r="QSS262" s="169"/>
      <c r="QST262" s="169"/>
      <c r="QSU262" s="169"/>
      <c r="QSV262" s="169"/>
      <c r="QSW262" s="169"/>
      <c r="QSX262" s="169"/>
      <c r="QSY262" s="169"/>
      <c r="QSZ262" s="169"/>
      <c r="QTA262" s="169"/>
      <c r="QTB262" s="169"/>
      <c r="QTC262" s="169"/>
      <c r="QTD262" s="169"/>
      <c r="QTE262" s="169"/>
      <c r="QTF262" s="169"/>
      <c r="QTG262" s="169"/>
      <c r="QTH262" s="169"/>
      <c r="QTI262" s="169"/>
      <c r="QTJ262" s="169"/>
      <c r="QTK262" s="169"/>
      <c r="QTL262" s="169"/>
      <c r="QTM262" s="169"/>
      <c r="QTN262" s="169"/>
      <c r="QTO262" s="169"/>
      <c r="QTP262" s="169"/>
      <c r="QTQ262" s="169"/>
      <c r="QTR262" s="169"/>
      <c r="QTS262" s="169"/>
      <c r="QTT262" s="169"/>
      <c r="QTU262" s="169"/>
      <c r="QTV262" s="169"/>
      <c r="QTW262" s="169"/>
      <c r="QTX262" s="169"/>
      <c r="QTY262" s="169"/>
      <c r="QTZ262" s="169"/>
      <c r="QUA262" s="169"/>
      <c r="QUB262" s="169"/>
      <c r="QUC262" s="169"/>
      <c r="QUD262" s="169"/>
      <c r="QUE262" s="169"/>
      <c r="QUF262" s="169"/>
      <c r="QUG262" s="169"/>
      <c r="QUH262" s="169"/>
      <c r="QUI262" s="169"/>
      <c r="QUJ262" s="169"/>
      <c r="QUK262" s="169"/>
      <c r="QUL262" s="169"/>
      <c r="QUM262" s="169"/>
      <c r="QUN262" s="169"/>
      <c r="QUO262" s="169"/>
      <c r="QUP262" s="169"/>
      <c r="QUQ262" s="169"/>
      <c r="QUR262" s="169"/>
      <c r="QUS262" s="169"/>
      <c r="QUT262" s="169"/>
      <c r="QUU262" s="169"/>
      <c r="QUV262" s="169"/>
      <c r="QUW262" s="169"/>
      <c r="QUX262" s="169"/>
      <c r="QUY262" s="169"/>
      <c r="QUZ262" s="169"/>
      <c r="QVA262" s="169"/>
      <c r="QVB262" s="169"/>
      <c r="QVC262" s="169"/>
      <c r="QVD262" s="169"/>
      <c r="QVE262" s="169"/>
      <c r="QVF262" s="169"/>
      <c r="QVG262" s="169"/>
      <c r="QVH262" s="169"/>
      <c r="QVI262" s="169"/>
      <c r="QVJ262" s="169"/>
      <c r="QVK262" s="169"/>
      <c r="QVL262" s="169"/>
      <c r="QVM262" s="169"/>
      <c r="QVN262" s="169"/>
      <c r="QVO262" s="169"/>
      <c r="QVP262" s="169"/>
      <c r="QVQ262" s="169"/>
      <c r="QVR262" s="169"/>
      <c r="QVS262" s="169"/>
      <c r="QVT262" s="169"/>
      <c r="QVU262" s="169"/>
      <c r="QVV262" s="169"/>
      <c r="QVW262" s="169"/>
      <c r="QVX262" s="169"/>
      <c r="QVY262" s="169"/>
      <c r="QVZ262" s="169"/>
      <c r="QWA262" s="169"/>
      <c r="QWB262" s="169"/>
      <c r="QWC262" s="169"/>
      <c r="QWD262" s="169"/>
      <c r="QWE262" s="169"/>
      <c r="QWF262" s="169"/>
      <c r="QWG262" s="169"/>
      <c r="QWH262" s="169"/>
      <c r="QWI262" s="169"/>
      <c r="QWJ262" s="169"/>
      <c r="QWK262" s="169"/>
      <c r="QWL262" s="169"/>
      <c r="QWM262" s="169"/>
      <c r="QWN262" s="169"/>
      <c r="QWO262" s="169"/>
      <c r="QWP262" s="169"/>
      <c r="QWQ262" s="169"/>
      <c r="QWR262" s="169"/>
      <c r="QWS262" s="169"/>
      <c r="QWT262" s="169"/>
      <c r="QWU262" s="169"/>
      <c r="QWV262" s="169"/>
      <c r="QWW262" s="169"/>
      <c r="QWX262" s="169"/>
      <c r="QWY262" s="169"/>
      <c r="QWZ262" s="169"/>
      <c r="QXA262" s="169"/>
      <c r="QXB262" s="169"/>
      <c r="QXC262" s="169"/>
      <c r="QXD262" s="169"/>
      <c r="QXE262" s="169"/>
      <c r="QXF262" s="169"/>
      <c r="QXG262" s="169"/>
      <c r="QXH262" s="169"/>
      <c r="QXI262" s="169"/>
      <c r="QXJ262" s="169"/>
      <c r="QXK262" s="169"/>
      <c r="QXL262" s="169"/>
      <c r="QXM262" s="169"/>
      <c r="QXN262" s="169"/>
      <c r="QXO262" s="169"/>
      <c r="QXP262" s="169"/>
      <c r="QXQ262" s="169"/>
      <c r="QXR262" s="169"/>
      <c r="QXS262" s="169"/>
      <c r="QXT262" s="169"/>
      <c r="QXU262" s="169"/>
      <c r="QXV262" s="169"/>
      <c r="QXW262" s="169"/>
      <c r="QXX262" s="169"/>
      <c r="QXY262" s="169"/>
      <c r="QXZ262" s="169"/>
      <c r="QYA262" s="169"/>
      <c r="QYB262" s="169"/>
      <c r="QYC262" s="169"/>
      <c r="QYD262" s="169"/>
      <c r="QYE262" s="169"/>
      <c r="QYF262" s="169"/>
      <c r="QYG262" s="169"/>
      <c r="QYH262" s="169"/>
      <c r="QYI262" s="169"/>
      <c r="QYJ262" s="169"/>
      <c r="QYK262" s="169"/>
      <c r="QYL262" s="169"/>
      <c r="QYM262" s="169"/>
      <c r="QYN262" s="169"/>
      <c r="QYO262" s="169"/>
      <c r="QYP262" s="169"/>
      <c r="QYQ262" s="169"/>
      <c r="QYR262" s="169"/>
      <c r="QYS262" s="169"/>
      <c r="QYT262" s="169"/>
      <c r="QYU262" s="169"/>
      <c r="QYV262" s="169"/>
      <c r="QYW262" s="169"/>
      <c r="QYX262" s="169"/>
      <c r="QYY262" s="169"/>
      <c r="QYZ262" s="169"/>
      <c r="QZA262" s="169"/>
      <c r="QZB262" s="169"/>
      <c r="QZC262" s="169"/>
      <c r="QZD262" s="169"/>
      <c r="QZE262" s="169"/>
      <c r="QZF262" s="169"/>
      <c r="QZG262" s="169"/>
      <c r="QZH262" s="169"/>
      <c r="QZI262" s="169"/>
      <c r="QZJ262" s="169"/>
      <c r="QZK262" s="169"/>
      <c r="QZL262" s="169"/>
      <c r="QZM262" s="169"/>
      <c r="QZN262" s="169"/>
      <c r="QZO262" s="169"/>
      <c r="QZP262" s="169"/>
      <c r="QZQ262" s="169"/>
      <c r="QZR262" s="169"/>
      <c r="QZS262" s="169"/>
      <c r="QZT262" s="169"/>
      <c r="QZU262" s="169"/>
      <c r="QZV262" s="169"/>
      <c r="QZW262" s="169"/>
      <c r="QZX262" s="169"/>
      <c r="QZY262" s="169"/>
      <c r="QZZ262" s="169"/>
      <c r="RAA262" s="169"/>
      <c r="RAB262" s="169"/>
      <c r="RAC262" s="169"/>
      <c r="RAD262" s="169"/>
      <c r="RAE262" s="169"/>
      <c r="RAF262" s="169"/>
      <c r="RAG262" s="169"/>
      <c r="RAH262" s="169"/>
      <c r="RAI262" s="169"/>
      <c r="RAJ262" s="169"/>
      <c r="RAK262" s="169"/>
      <c r="RAL262" s="169"/>
      <c r="RAM262" s="169"/>
      <c r="RAN262" s="169"/>
      <c r="RAO262" s="169"/>
      <c r="RAP262" s="169"/>
      <c r="RAQ262" s="169"/>
      <c r="RAR262" s="169"/>
      <c r="RAS262" s="169"/>
      <c r="RAT262" s="169"/>
      <c r="RAU262" s="169"/>
      <c r="RAV262" s="169"/>
      <c r="RAW262" s="169"/>
      <c r="RAX262" s="169"/>
      <c r="RAY262" s="169"/>
      <c r="RAZ262" s="169"/>
      <c r="RBA262" s="169"/>
      <c r="RBB262" s="169"/>
      <c r="RBC262" s="169"/>
      <c r="RBD262" s="169"/>
      <c r="RBE262" s="169"/>
      <c r="RBF262" s="169"/>
      <c r="RBG262" s="169"/>
      <c r="RBH262" s="169"/>
      <c r="RBI262" s="169"/>
      <c r="RBJ262" s="169"/>
      <c r="RBK262" s="169"/>
      <c r="RBL262" s="169"/>
      <c r="RBM262" s="169"/>
      <c r="RBN262" s="169"/>
      <c r="RBO262" s="169"/>
      <c r="RBP262" s="169"/>
      <c r="RBQ262" s="169"/>
      <c r="RBR262" s="169"/>
      <c r="RBS262" s="169"/>
      <c r="RBT262" s="169"/>
      <c r="RBU262" s="169"/>
      <c r="RBV262" s="169"/>
      <c r="RBW262" s="169"/>
      <c r="RBX262" s="169"/>
      <c r="RBY262" s="169"/>
      <c r="RBZ262" s="169"/>
      <c r="RCA262" s="169"/>
      <c r="RCB262" s="169"/>
      <c r="RCC262" s="169"/>
      <c r="RCD262" s="169"/>
      <c r="RCE262" s="169"/>
      <c r="RCF262" s="169"/>
      <c r="RCG262" s="169"/>
      <c r="RCH262" s="169"/>
      <c r="RCI262" s="169"/>
      <c r="RCJ262" s="169"/>
      <c r="RCK262" s="169"/>
      <c r="RCL262" s="169"/>
      <c r="RCM262" s="169"/>
      <c r="RCN262" s="169"/>
      <c r="RCO262" s="169"/>
      <c r="RCP262" s="169"/>
      <c r="RCQ262" s="169"/>
      <c r="RCR262" s="169"/>
      <c r="RCS262" s="169"/>
      <c r="RCT262" s="169"/>
      <c r="RCU262" s="169"/>
      <c r="RCV262" s="169"/>
      <c r="RCW262" s="169"/>
      <c r="RCX262" s="169"/>
      <c r="RCY262" s="169"/>
      <c r="RCZ262" s="169"/>
      <c r="RDA262" s="169"/>
      <c r="RDB262" s="169"/>
      <c r="RDC262" s="169"/>
      <c r="RDD262" s="169"/>
      <c r="RDE262" s="169"/>
      <c r="RDF262" s="169"/>
      <c r="RDG262" s="169"/>
      <c r="RDH262" s="169"/>
      <c r="RDI262" s="169"/>
      <c r="RDJ262" s="169"/>
      <c r="RDK262" s="169"/>
      <c r="RDL262" s="169"/>
      <c r="RDM262" s="169"/>
      <c r="RDN262" s="169"/>
      <c r="RDO262" s="169"/>
      <c r="RDP262" s="169"/>
      <c r="RDQ262" s="169"/>
      <c r="RDR262" s="169"/>
      <c r="RDS262" s="169"/>
      <c r="RDT262" s="169"/>
      <c r="RDU262" s="169"/>
      <c r="RDV262" s="169"/>
      <c r="RDW262" s="169"/>
      <c r="RDX262" s="169"/>
      <c r="RDY262" s="169"/>
      <c r="RDZ262" s="169"/>
      <c r="REA262" s="169"/>
      <c r="REB262" s="169"/>
      <c r="REC262" s="169"/>
      <c r="RED262" s="169"/>
      <c r="REE262" s="169"/>
      <c r="REF262" s="169"/>
      <c r="REG262" s="169"/>
      <c r="REH262" s="169"/>
      <c r="REI262" s="169"/>
      <c r="REJ262" s="169"/>
      <c r="REK262" s="169"/>
      <c r="REL262" s="169"/>
      <c r="REM262" s="169"/>
      <c r="REN262" s="169"/>
      <c r="REO262" s="169"/>
      <c r="REP262" s="169"/>
      <c r="REQ262" s="169"/>
      <c r="RER262" s="169"/>
      <c r="RES262" s="169"/>
      <c r="RET262" s="169"/>
      <c r="REU262" s="169"/>
      <c r="REV262" s="169"/>
      <c r="REW262" s="169"/>
      <c r="REX262" s="169"/>
      <c r="REY262" s="169"/>
      <c r="REZ262" s="169"/>
      <c r="RFA262" s="169"/>
      <c r="RFB262" s="169"/>
      <c r="RFC262" s="169"/>
      <c r="RFD262" s="169"/>
      <c r="RFE262" s="169"/>
      <c r="RFF262" s="169"/>
      <c r="RFG262" s="169"/>
      <c r="RFH262" s="169"/>
      <c r="RFI262" s="169"/>
      <c r="RFJ262" s="169"/>
      <c r="RFK262" s="169"/>
      <c r="RFL262" s="169"/>
      <c r="RFM262" s="169"/>
      <c r="RFN262" s="169"/>
      <c r="RFO262" s="169"/>
      <c r="RFP262" s="169"/>
      <c r="RFQ262" s="169"/>
      <c r="RFR262" s="169"/>
      <c r="RFS262" s="169"/>
      <c r="RFT262" s="169"/>
      <c r="RFU262" s="169"/>
      <c r="RFV262" s="169"/>
      <c r="RFW262" s="169"/>
      <c r="RFX262" s="169"/>
      <c r="RFY262" s="169"/>
      <c r="RFZ262" s="169"/>
      <c r="RGA262" s="169"/>
      <c r="RGB262" s="169"/>
      <c r="RGC262" s="169"/>
      <c r="RGD262" s="169"/>
      <c r="RGE262" s="169"/>
      <c r="RGF262" s="169"/>
      <c r="RGG262" s="169"/>
      <c r="RGH262" s="169"/>
      <c r="RGI262" s="169"/>
      <c r="RGJ262" s="169"/>
      <c r="RGK262" s="169"/>
      <c r="RGL262" s="169"/>
      <c r="RGM262" s="169"/>
      <c r="RGN262" s="169"/>
      <c r="RGO262" s="169"/>
      <c r="RGP262" s="169"/>
      <c r="RGQ262" s="169"/>
      <c r="RGR262" s="169"/>
      <c r="RGS262" s="169"/>
      <c r="RGT262" s="169"/>
      <c r="RGU262" s="169"/>
      <c r="RGV262" s="169"/>
      <c r="RGW262" s="169"/>
      <c r="RGX262" s="169"/>
      <c r="RGY262" s="169"/>
      <c r="RGZ262" s="169"/>
      <c r="RHA262" s="169"/>
      <c r="RHB262" s="169"/>
      <c r="RHC262" s="169"/>
      <c r="RHD262" s="169"/>
      <c r="RHE262" s="169"/>
      <c r="RHF262" s="169"/>
      <c r="RHG262" s="169"/>
      <c r="RHH262" s="169"/>
      <c r="RHI262" s="169"/>
      <c r="RHJ262" s="169"/>
      <c r="RHK262" s="169"/>
      <c r="RHL262" s="169"/>
      <c r="RHM262" s="169"/>
      <c r="RHN262" s="169"/>
      <c r="RHO262" s="169"/>
      <c r="RHP262" s="169"/>
      <c r="RHQ262" s="169"/>
      <c r="RHR262" s="169"/>
      <c r="RHS262" s="169"/>
      <c r="RHT262" s="169"/>
      <c r="RHU262" s="169"/>
      <c r="RHV262" s="169"/>
      <c r="RHW262" s="169"/>
      <c r="RHX262" s="169"/>
      <c r="RHY262" s="169"/>
      <c r="RHZ262" s="169"/>
      <c r="RIA262" s="169"/>
      <c r="RIB262" s="169"/>
      <c r="RIC262" s="169"/>
      <c r="RID262" s="169"/>
      <c r="RIE262" s="169"/>
      <c r="RIF262" s="169"/>
      <c r="RIG262" s="169"/>
      <c r="RIH262" s="169"/>
      <c r="RII262" s="169"/>
      <c r="RIJ262" s="169"/>
      <c r="RIK262" s="169"/>
      <c r="RIL262" s="169"/>
      <c r="RIM262" s="169"/>
      <c r="RIN262" s="169"/>
      <c r="RIO262" s="169"/>
      <c r="RIP262" s="169"/>
      <c r="RIQ262" s="169"/>
      <c r="RIR262" s="169"/>
      <c r="RIS262" s="169"/>
      <c r="RIT262" s="169"/>
      <c r="RIU262" s="169"/>
      <c r="RIV262" s="169"/>
      <c r="RIW262" s="169"/>
      <c r="RIX262" s="169"/>
      <c r="RIY262" s="169"/>
      <c r="RIZ262" s="169"/>
      <c r="RJA262" s="169"/>
      <c r="RJB262" s="169"/>
      <c r="RJC262" s="169"/>
      <c r="RJD262" s="169"/>
      <c r="RJE262" s="169"/>
      <c r="RJF262" s="169"/>
      <c r="RJG262" s="169"/>
      <c r="RJH262" s="169"/>
      <c r="RJI262" s="169"/>
      <c r="RJJ262" s="169"/>
      <c r="RJK262" s="169"/>
      <c r="RJL262" s="169"/>
      <c r="RJM262" s="169"/>
      <c r="RJN262" s="169"/>
      <c r="RJO262" s="169"/>
      <c r="RJP262" s="169"/>
      <c r="RJQ262" s="169"/>
      <c r="RJR262" s="169"/>
      <c r="RJS262" s="169"/>
      <c r="RJT262" s="169"/>
      <c r="RJU262" s="169"/>
      <c r="RJV262" s="169"/>
      <c r="RJW262" s="169"/>
      <c r="RJX262" s="169"/>
      <c r="RJY262" s="169"/>
      <c r="RJZ262" s="169"/>
      <c r="RKA262" s="169"/>
      <c r="RKB262" s="169"/>
      <c r="RKC262" s="169"/>
      <c r="RKD262" s="169"/>
      <c r="RKE262" s="169"/>
      <c r="RKF262" s="169"/>
      <c r="RKG262" s="169"/>
      <c r="RKH262" s="169"/>
      <c r="RKI262" s="169"/>
      <c r="RKJ262" s="169"/>
      <c r="RKK262" s="169"/>
      <c r="RKL262" s="169"/>
      <c r="RKM262" s="169"/>
      <c r="RKN262" s="169"/>
      <c r="RKO262" s="169"/>
      <c r="RKP262" s="169"/>
      <c r="RKQ262" s="169"/>
      <c r="RKR262" s="169"/>
      <c r="RKS262" s="169"/>
      <c r="RKT262" s="169"/>
      <c r="RKU262" s="169"/>
      <c r="RKV262" s="169"/>
      <c r="RKW262" s="169"/>
      <c r="RKX262" s="169"/>
      <c r="RKY262" s="169"/>
      <c r="RKZ262" s="169"/>
      <c r="RLA262" s="169"/>
      <c r="RLB262" s="169"/>
      <c r="RLC262" s="169"/>
      <c r="RLD262" s="169"/>
      <c r="RLE262" s="169"/>
      <c r="RLF262" s="169"/>
      <c r="RLG262" s="169"/>
      <c r="RLH262" s="169"/>
      <c r="RLI262" s="169"/>
      <c r="RLJ262" s="169"/>
      <c r="RLK262" s="169"/>
      <c r="RLL262" s="169"/>
      <c r="RLM262" s="169"/>
      <c r="RLN262" s="169"/>
      <c r="RLO262" s="169"/>
      <c r="RLP262" s="169"/>
      <c r="RLQ262" s="169"/>
      <c r="RLR262" s="169"/>
      <c r="RLS262" s="169"/>
      <c r="RLT262" s="169"/>
      <c r="RLU262" s="169"/>
      <c r="RLV262" s="169"/>
      <c r="RLW262" s="169"/>
      <c r="RLX262" s="169"/>
      <c r="RLY262" s="169"/>
      <c r="RLZ262" s="169"/>
      <c r="RMA262" s="169"/>
      <c r="RMB262" s="169"/>
      <c r="RMC262" s="169"/>
      <c r="RMD262" s="169"/>
      <c r="RME262" s="169"/>
      <c r="RMF262" s="169"/>
      <c r="RMG262" s="169"/>
      <c r="RMH262" s="169"/>
      <c r="RMI262" s="169"/>
      <c r="RMJ262" s="169"/>
      <c r="RMK262" s="169"/>
      <c r="RML262" s="169"/>
      <c r="RMM262" s="169"/>
      <c r="RMN262" s="169"/>
      <c r="RMO262" s="169"/>
      <c r="RMP262" s="169"/>
      <c r="RMQ262" s="169"/>
      <c r="RMR262" s="169"/>
      <c r="RMS262" s="169"/>
      <c r="RMT262" s="169"/>
      <c r="RMU262" s="169"/>
      <c r="RMV262" s="169"/>
      <c r="RMW262" s="169"/>
      <c r="RMX262" s="169"/>
      <c r="RMY262" s="169"/>
      <c r="RMZ262" s="169"/>
      <c r="RNA262" s="169"/>
      <c r="RNB262" s="169"/>
      <c r="RNC262" s="169"/>
      <c r="RND262" s="169"/>
      <c r="RNE262" s="169"/>
      <c r="RNF262" s="169"/>
      <c r="RNG262" s="169"/>
      <c r="RNH262" s="169"/>
      <c r="RNI262" s="169"/>
      <c r="RNJ262" s="169"/>
      <c r="RNK262" s="169"/>
      <c r="RNL262" s="169"/>
      <c r="RNM262" s="169"/>
      <c r="RNN262" s="169"/>
      <c r="RNO262" s="169"/>
      <c r="RNP262" s="169"/>
      <c r="RNQ262" s="169"/>
      <c r="RNR262" s="169"/>
      <c r="RNS262" s="169"/>
      <c r="RNT262" s="169"/>
      <c r="RNU262" s="169"/>
      <c r="RNV262" s="169"/>
      <c r="RNW262" s="169"/>
      <c r="RNX262" s="169"/>
      <c r="RNY262" s="169"/>
      <c r="RNZ262" s="169"/>
      <c r="ROA262" s="169"/>
      <c r="ROB262" s="169"/>
      <c r="ROC262" s="169"/>
      <c r="ROD262" s="169"/>
      <c r="ROE262" s="169"/>
      <c r="ROF262" s="169"/>
      <c r="ROG262" s="169"/>
      <c r="ROH262" s="169"/>
      <c r="ROI262" s="169"/>
      <c r="ROJ262" s="169"/>
      <c r="ROK262" s="169"/>
      <c r="ROL262" s="169"/>
      <c r="ROM262" s="169"/>
      <c r="RON262" s="169"/>
      <c r="ROO262" s="169"/>
      <c r="ROP262" s="169"/>
      <c r="ROQ262" s="169"/>
      <c r="ROR262" s="169"/>
      <c r="ROS262" s="169"/>
      <c r="ROT262" s="169"/>
      <c r="ROU262" s="169"/>
      <c r="ROV262" s="169"/>
      <c r="ROW262" s="169"/>
      <c r="ROX262" s="169"/>
      <c r="ROY262" s="169"/>
      <c r="ROZ262" s="169"/>
      <c r="RPA262" s="169"/>
      <c r="RPB262" s="169"/>
      <c r="RPC262" s="169"/>
      <c r="RPD262" s="169"/>
      <c r="RPE262" s="169"/>
      <c r="RPF262" s="169"/>
      <c r="RPG262" s="169"/>
      <c r="RPH262" s="169"/>
      <c r="RPI262" s="169"/>
      <c r="RPJ262" s="169"/>
      <c r="RPK262" s="169"/>
      <c r="RPL262" s="169"/>
      <c r="RPM262" s="169"/>
      <c r="RPN262" s="169"/>
      <c r="RPO262" s="169"/>
      <c r="RPP262" s="169"/>
      <c r="RPQ262" s="169"/>
      <c r="RPR262" s="169"/>
      <c r="RPS262" s="169"/>
      <c r="RPT262" s="169"/>
      <c r="RPU262" s="169"/>
      <c r="RPV262" s="169"/>
      <c r="RPW262" s="169"/>
      <c r="RPX262" s="169"/>
      <c r="RPY262" s="169"/>
      <c r="RPZ262" s="169"/>
      <c r="RQA262" s="169"/>
      <c r="RQB262" s="169"/>
      <c r="RQC262" s="169"/>
      <c r="RQD262" s="169"/>
      <c r="RQE262" s="169"/>
      <c r="RQF262" s="169"/>
      <c r="RQG262" s="169"/>
      <c r="RQH262" s="169"/>
      <c r="RQI262" s="169"/>
      <c r="RQJ262" s="169"/>
      <c r="RQK262" s="169"/>
      <c r="RQL262" s="169"/>
      <c r="RQM262" s="169"/>
      <c r="RQN262" s="169"/>
      <c r="RQO262" s="169"/>
      <c r="RQP262" s="169"/>
      <c r="RQQ262" s="169"/>
      <c r="RQR262" s="169"/>
      <c r="RQS262" s="169"/>
      <c r="RQT262" s="169"/>
      <c r="RQU262" s="169"/>
      <c r="RQV262" s="169"/>
      <c r="RQW262" s="169"/>
      <c r="RQX262" s="169"/>
      <c r="RQY262" s="169"/>
      <c r="RQZ262" s="169"/>
      <c r="RRA262" s="169"/>
      <c r="RRB262" s="169"/>
      <c r="RRC262" s="169"/>
      <c r="RRD262" s="169"/>
      <c r="RRE262" s="169"/>
      <c r="RRF262" s="169"/>
      <c r="RRG262" s="169"/>
      <c r="RRH262" s="169"/>
      <c r="RRI262" s="169"/>
      <c r="RRJ262" s="169"/>
      <c r="RRK262" s="169"/>
      <c r="RRL262" s="169"/>
      <c r="RRM262" s="169"/>
      <c r="RRN262" s="169"/>
      <c r="RRO262" s="169"/>
      <c r="RRP262" s="169"/>
      <c r="RRQ262" s="169"/>
      <c r="RRR262" s="169"/>
      <c r="RRS262" s="169"/>
      <c r="RRT262" s="169"/>
      <c r="RRU262" s="169"/>
      <c r="RRV262" s="169"/>
      <c r="RRW262" s="169"/>
      <c r="RRX262" s="169"/>
      <c r="RRY262" s="169"/>
      <c r="RRZ262" s="169"/>
      <c r="RSA262" s="169"/>
      <c r="RSB262" s="169"/>
      <c r="RSC262" s="169"/>
      <c r="RSD262" s="169"/>
      <c r="RSE262" s="169"/>
      <c r="RSF262" s="169"/>
      <c r="RSG262" s="169"/>
      <c r="RSH262" s="169"/>
      <c r="RSI262" s="169"/>
      <c r="RSJ262" s="169"/>
      <c r="RSK262" s="169"/>
      <c r="RSL262" s="169"/>
      <c r="RSM262" s="169"/>
      <c r="RSN262" s="169"/>
      <c r="RSO262" s="169"/>
      <c r="RSP262" s="169"/>
      <c r="RSQ262" s="169"/>
      <c r="RSR262" s="169"/>
      <c r="RSS262" s="169"/>
      <c r="RST262" s="169"/>
      <c r="RSU262" s="169"/>
      <c r="RSV262" s="169"/>
      <c r="RSW262" s="169"/>
      <c r="RSX262" s="169"/>
      <c r="RSY262" s="169"/>
      <c r="RSZ262" s="169"/>
      <c r="RTA262" s="169"/>
      <c r="RTB262" s="169"/>
      <c r="RTC262" s="169"/>
      <c r="RTD262" s="169"/>
      <c r="RTE262" s="169"/>
      <c r="RTF262" s="169"/>
      <c r="RTG262" s="169"/>
      <c r="RTH262" s="169"/>
      <c r="RTI262" s="169"/>
      <c r="RTJ262" s="169"/>
      <c r="RTK262" s="169"/>
      <c r="RTL262" s="169"/>
      <c r="RTM262" s="169"/>
      <c r="RTN262" s="169"/>
      <c r="RTO262" s="169"/>
      <c r="RTP262" s="169"/>
      <c r="RTQ262" s="169"/>
      <c r="RTR262" s="169"/>
      <c r="RTS262" s="169"/>
      <c r="RTT262" s="169"/>
      <c r="RTU262" s="169"/>
      <c r="RTV262" s="169"/>
      <c r="RTW262" s="169"/>
      <c r="RTX262" s="169"/>
      <c r="RTY262" s="169"/>
      <c r="RTZ262" s="169"/>
      <c r="RUA262" s="169"/>
      <c r="RUB262" s="169"/>
      <c r="RUC262" s="169"/>
      <c r="RUD262" s="169"/>
      <c r="RUE262" s="169"/>
      <c r="RUF262" s="169"/>
      <c r="RUG262" s="169"/>
      <c r="RUH262" s="169"/>
      <c r="RUI262" s="169"/>
      <c r="RUJ262" s="169"/>
      <c r="RUK262" s="169"/>
      <c r="RUL262" s="169"/>
      <c r="RUM262" s="169"/>
      <c r="RUN262" s="169"/>
      <c r="RUO262" s="169"/>
      <c r="RUP262" s="169"/>
      <c r="RUQ262" s="169"/>
      <c r="RUR262" s="169"/>
      <c r="RUS262" s="169"/>
      <c r="RUT262" s="169"/>
      <c r="RUU262" s="169"/>
      <c r="RUV262" s="169"/>
      <c r="RUW262" s="169"/>
      <c r="RUX262" s="169"/>
      <c r="RUY262" s="169"/>
      <c r="RUZ262" s="169"/>
      <c r="RVA262" s="169"/>
      <c r="RVB262" s="169"/>
      <c r="RVC262" s="169"/>
      <c r="RVD262" s="169"/>
      <c r="RVE262" s="169"/>
      <c r="RVF262" s="169"/>
      <c r="RVG262" s="169"/>
      <c r="RVH262" s="169"/>
      <c r="RVI262" s="169"/>
      <c r="RVJ262" s="169"/>
      <c r="RVK262" s="169"/>
      <c r="RVL262" s="169"/>
      <c r="RVM262" s="169"/>
      <c r="RVN262" s="169"/>
      <c r="RVO262" s="169"/>
      <c r="RVP262" s="169"/>
      <c r="RVQ262" s="169"/>
      <c r="RVR262" s="169"/>
      <c r="RVS262" s="169"/>
      <c r="RVT262" s="169"/>
      <c r="RVU262" s="169"/>
      <c r="RVV262" s="169"/>
      <c r="RVW262" s="169"/>
      <c r="RVX262" s="169"/>
      <c r="RVY262" s="169"/>
      <c r="RVZ262" s="169"/>
      <c r="RWA262" s="169"/>
      <c r="RWB262" s="169"/>
      <c r="RWC262" s="169"/>
      <c r="RWD262" s="169"/>
      <c r="RWE262" s="169"/>
      <c r="RWF262" s="169"/>
      <c r="RWG262" s="169"/>
      <c r="RWH262" s="169"/>
      <c r="RWI262" s="169"/>
      <c r="RWJ262" s="169"/>
      <c r="RWK262" s="169"/>
      <c r="RWL262" s="169"/>
      <c r="RWM262" s="169"/>
      <c r="RWN262" s="169"/>
      <c r="RWO262" s="169"/>
      <c r="RWP262" s="169"/>
      <c r="RWQ262" s="169"/>
      <c r="RWR262" s="169"/>
      <c r="RWS262" s="169"/>
      <c r="RWT262" s="169"/>
      <c r="RWU262" s="169"/>
      <c r="RWV262" s="169"/>
      <c r="RWW262" s="169"/>
      <c r="RWX262" s="169"/>
      <c r="RWY262" s="169"/>
      <c r="RWZ262" s="169"/>
      <c r="RXA262" s="169"/>
      <c r="RXB262" s="169"/>
      <c r="RXC262" s="169"/>
      <c r="RXD262" s="169"/>
      <c r="RXE262" s="169"/>
      <c r="RXF262" s="169"/>
      <c r="RXG262" s="169"/>
      <c r="RXH262" s="169"/>
      <c r="RXI262" s="169"/>
      <c r="RXJ262" s="169"/>
      <c r="RXK262" s="169"/>
      <c r="RXL262" s="169"/>
      <c r="RXM262" s="169"/>
      <c r="RXN262" s="169"/>
      <c r="RXO262" s="169"/>
      <c r="RXP262" s="169"/>
      <c r="RXQ262" s="169"/>
      <c r="RXR262" s="169"/>
      <c r="RXS262" s="169"/>
      <c r="RXT262" s="169"/>
      <c r="RXU262" s="169"/>
      <c r="RXV262" s="169"/>
      <c r="RXW262" s="169"/>
      <c r="RXX262" s="169"/>
      <c r="RXY262" s="169"/>
      <c r="RXZ262" s="169"/>
      <c r="RYA262" s="169"/>
      <c r="RYB262" s="169"/>
      <c r="RYC262" s="169"/>
      <c r="RYD262" s="169"/>
      <c r="RYE262" s="169"/>
      <c r="RYF262" s="169"/>
      <c r="RYG262" s="169"/>
      <c r="RYH262" s="169"/>
      <c r="RYI262" s="169"/>
      <c r="RYJ262" s="169"/>
      <c r="RYK262" s="169"/>
      <c r="RYL262" s="169"/>
      <c r="RYM262" s="169"/>
      <c r="RYN262" s="169"/>
      <c r="RYO262" s="169"/>
      <c r="RYP262" s="169"/>
      <c r="RYQ262" s="169"/>
      <c r="RYR262" s="169"/>
      <c r="RYS262" s="169"/>
      <c r="RYT262" s="169"/>
      <c r="RYU262" s="169"/>
      <c r="RYV262" s="169"/>
      <c r="RYW262" s="169"/>
      <c r="RYX262" s="169"/>
      <c r="RYY262" s="169"/>
      <c r="RYZ262" s="169"/>
      <c r="RZA262" s="169"/>
      <c r="RZB262" s="169"/>
      <c r="RZC262" s="169"/>
      <c r="RZD262" s="169"/>
      <c r="RZE262" s="169"/>
      <c r="RZF262" s="169"/>
      <c r="RZG262" s="169"/>
      <c r="RZH262" s="169"/>
      <c r="RZI262" s="169"/>
      <c r="RZJ262" s="169"/>
      <c r="RZK262" s="169"/>
      <c r="RZL262" s="169"/>
      <c r="RZM262" s="169"/>
      <c r="RZN262" s="169"/>
      <c r="RZO262" s="169"/>
      <c r="RZP262" s="169"/>
      <c r="RZQ262" s="169"/>
      <c r="RZR262" s="169"/>
      <c r="RZS262" s="169"/>
      <c r="RZT262" s="169"/>
      <c r="RZU262" s="169"/>
      <c r="RZV262" s="169"/>
      <c r="RZW262" s="169"/>
      <c r="RZX262" s="169"/>
      <c r="RZY262" s="169"/>
      <c r="RZZ262" s="169"/>
      <c r="SAA262" s="169"/>
      <c r="SAB262" s="169"/>
      <c r="SAC262" s="169"/>
      <c r="SAD262" s="169"/>
      <c r="SAE262" s="169"/>
      <c r="SAF262" s="169"/>
      <c r="SAG262" s="169"/>
      <c r="SAH262" s="169"/>
      <c r="SAI262" s="169"/>
      <c r="SAJ262" s="169"/>
      <c r="SAK262" s="169"/>
      <c r="SAL262" s="169"/>
      <c r="SAM262" s="169"/>
      <c r="SAN262" s="169"/>
      <c r="SAO262" s="169"/>
      <c r="SAP262" s="169"/>
      <c r="SAQ262" s="169"/>
      <c r="SAR262" s="169"/>
      <c r="SAS262" s="169"/>
      <c r="SAT262" s="169"/>
      <c r="SAU262" s="169"/>
      <c r="SAV262" s="169"/>
      <c r="SAW262" s="169"/>
      <c r="SAX262" s="169"/>
      <c r="SAY262" s="169"/>
      <c r="SAZ262" s="169"/>
      <c r="SBA262" s="169"/>
      <c r="SBB262" s="169"/>
      <c r="SBC262" s="169"/>
      <c r="SBD262" s="169"/>
      <c r="SBE262" s="169"/>
      <c r="SBF262" s="169"/>
      <c r="SBG262" s="169"/>
      <c r="SBH262" s="169"/>
      <c r="SBI262" s="169"/>
      <c r="SBJ262" s="169"/>
      <c r="SBK262" s="169"/>
      <c r="SBL262" s="169"/>
      <c r="SBM262" s="169"/>
      <c r="SBN262" s="169"/>
      <c r="SBO262" s="169"/>
      <c r="SBP262" s="169"/>
      <c r="SBQ262" s="169"/>
      <c r="SBR262" s="169"/>
      <c r="SBS262" s="169"/>
      <c r="SBT262" s="169"/>
      <c r="SBU262" s="169"/>
      <c r="SBV262" s="169"/>
      <c r="SBW262" s="169"/>
      <c r="SBX262" s="169"/>
      <c r="SBY262" s="169"/>
      <c r="SBZ262" s="169"/>
      <c r="SCA262" s="169"/>
      <c r="SCB262" s="169"/>
      <c r="SCC262" s="169"/>
      <c r="SCD262" s="169"/>
      <c r="SCE262" s="169"/>
      <c r="SCF262" s="169"/>
      <c r="SCG262" s="169"/>
      <c r="SCH262" s="169"/>
      <c r="SCI262" s="169"/>
      <c r="SCJ262" s="169"/>
      <c r="SCK262" s="169"/>
      <c r="SCL262" s="169"/>
      <c r="SCM262" s="169"/>
      <c r="SCN262" s="169"/>
      <c r="SCO262" s="169"/>
      <c r="SCP262" s="169"/>
      <c r="SCQ262" s="169"/>
      <c r="SCR262" s="169"/>
      <c r="SCS262" s="169"/>
      <c r="SCT262" s="169"/>
      <c r="SCU262" s="169"/>
      <c r="SCV262" s="169"/>
      <c r="SCW262" s="169"/>
      <c r="SCX262" s="169"/>
      <c r="SCY262" s="169"/>
      <c r="SCZ262" s="169"/>
      <c r="SDA262" s="169"/>
      <c r="SDB262" s="169"/>
      <c r="SDC262" s="169"/>
      <c r="SDD262" s="169"/>
      <c r="SDE262" s="169"/>
      <c r="SDF262" s="169"/>
      <c r="SDG262" s="169"/>
      <c r="SDH262" s="169"/>
      <c r="SDI262" s="169"/>
      <c r="SDJ262" s="169"/>
      <c r="SDK262" s="169"/>
      <c r="SDL262" s="169"/>
      <c r="SDM262" s="169"/>
      <c r="SDN262" s="169"/>
      <c r="SDO262" s="169"/>
      <c r="SDP262" s="169"/>
      <c r="SDQ262" s="169"/>
      <c r="SDR262" s="169"/>
      <c r="SDS262" s="169"/>
      <c r="SDT262" s="169"/>
      <c r="SDU262" s="169"/>
      <c r="SDV262" s="169"/>
      <c r="SDW262" s="169"/>
      <c r="SDX262" s="169"/>
      <c r="SDY262" s="169"/>
      <c r="SDZ262" s="169"/>
      <c r="SEA262" s="169"/>
      <c r="SEB262" s="169"/>
      <c r="SEC262" s="169"/>
      <c r="SED262" s="169"/>
      <c r="SEE262" s="169"/>
      <c r="SEF262" s="169"/>
      <c r="SEG262" s="169"/>
      <c r="SEH262" s="169"/>
      <c r="SEI262" s="169"/>
      <c r="SEJ262" s="169"/>
      <c r="SEK262" s="169"/>
      <c r="SEL262" s="169"/>
      <c r="SEM262" s="169"/>
      <c r="SEN262" s="169"/>
      <c r="SEO262" s="169"/>
      <c r="SEP262" s="169"/>
      <c r="SEQ262" s="169"/>
      <c r="SER262" s="169"/>
      <c r="SES262" s="169"/>
      <c r="SET262" s="169"/>
      <c r="SEU262" s="169"/>
      <c r="SEV262" s="169"/>
      <c r="SEW262" s="169"/>
      <c r="SEX262" s="169"/>
      <c r="SEY262" s="169"/>
      <c r="SEZ262" s="169"/>
      <c r="SFA262" s="169"/>
      <c r="SFB262" s="169"/>
      <c r="SFC262" s="169"/>
      <c r="SFD262" s="169"/>
      <c r="SFE262" s="169"/>
      <c r="SFF262" s="169"/>
      <c r="SFG262" s="169"/>
      <c r="SFH262" s="169"/>
      <c r="SFI262" s="169"/>
      <c r="SFJ262" s="169"/>
      <c r="SFK262" s="169"/>
      <c r="SFL262" s="169"/>
      <c r="SFM262" s="169"/>
      <c r="SFN262" s="169"/>
      <c r="SFO262" s="169"/>
      <c r="SFP262" s="169"/>
      <c r="SFQ262" s="169"/>
      <c r="SFR262" s="169"/>
      <c r="SFS262" s="169"/>
      <c r="SFT262" s="169"/>
      <c r="SFU262" s="169"/>
      <c r="SFV262" s="169"/>
      <c r="SFW262" s="169"/>
      <c r="SFX262" s="169"/>
      <c r="SFY262" s="169"/>
      <c r="SFZ262" s="169"/>
      <c r="SGA262" s="169"/>
      <c r="SGB262" s="169"/>
      <c r="SGC262" s="169"/>
      <c r="SGD262" s="169"/>
      <c r="SGE262" s="169"/>
      <c r="SGF262" s="169"/>
      <c r="SGG262" s="169"/>
      <c r="SGH262" s="169"/>
      <c r="SGI262" s="169"/>
      <c r="SGJ262" s="169"/>
      <c r="SGK262" s="169"/>
      <c r="SGL262" s="169"/>
      <c r="SGM262" s="169"/>
      <c r="SGN262" s="169"/>
      <c r="SGO262" s="169"/>
      <c r="SGP262" s="169"/>
      <c r="SGQ262" s="169"/>
      <c r="SGR262" s="169"/>
      <c r="SGS262" s="169"/>
      <c r="SGT262" s="169"/>
      <c r="SGU262" s="169"/>
      <c r="SGV262" s="169"/>
      <c r="SGW262" s="169"/>
      <c r="SGX262" s="169"/>
      <c r="SGY262" s="169"/>
      <c r="SGZ262" s="169"/>
      <c r="SHA262" s="169"/>
      <c r="SHB262" s="169"/>
      <c r="SHC262" s="169"/>
      <c r="SHD262" s="169"/>
      <c r="SHE262" s="169"/>
      <c r="SHF262" s="169"/>
      <c r="SHG262" s="169"/>
      <c r="SHH262" s="169"/>
      <c r="SHI262" s="169"/>
      <c r="SHJ262" s="169"/>
      <c r="SHK262" s="169"/>
      <c r="SHL262" s="169"/>
      <c r="SHM262" s="169"/>
      <c r="SHN262" s="169"/>
      <c r="SHO262" s="169"/>
      <c r="SHP262" s="169"/>
      <c r="SHQ262" s="169"/>
      <c r="SHR262" s="169"/>
      <c r="SHS262" s="169"/>
      <c r="SHT262" s="169"/>
      <c r="SHU262" s="169"/>
      <c r="SHV262" s="169"/>
      <c r="SHW262" s="169"/>
      <c r="SHX262" s="169"/>
      <c r="SHY262" s="169"/>
      <c r="SHZ262" s="169"/>
      <c r="SIA262" s="169"/>
      <c r="SIB262" s="169"/>
      <c r="SIC262" s="169"/>
      <c r="SID262" s="169"/>
      <c r="SIE262" s="169"/>
      <c r="SIF262" s="169"/>
      <c r="SIG262" s="169"/>
      <c r="SIH262" s="169"/>
      <c r="SII262" s="169"/>
      <c r="SIJ262" s="169"/>
      <c r="SIK262" s="169"/>
      <c r="SIL262" s="169"/>
      <c r="SIM262" s="169"/>
      <c r="SIN262" s="169"/>
      <c r="SIO262" s="169"/>
      <c r="SIP262" s="169"/>
      <c r="SIQ262" s="169"/>
      <c r="SIR262" s="169"/>
      <c r="SIS262" s="169"/>
      <c r="SIT262" s="169"/>
      <c r="SIU262" s="169"/>
      <c r="SIV262" s="169"/>
      <c r="SIW262" s="169"/>
      <c r="SIX262" s="169"/>
      <c r="SIY262" s="169"/>
      <c r="SIZ262" s="169"/>
      <c r="SJA262" s="169"/>
      <c r="SJB262" s="169"/>
      <c r="SJC262" s="169"/>
      <c r="SJD262" s="169"/>
      <c r="SJE262" s="169"/>
      <c r="SJF262" s="169"/>
      <c r="SJG262" s="169"/>
      <c r="SJH262" s="169"/>
      <c r="SJI262" s="169"/>
      <c r="SJJ262" s="169"/>
      <c r="SJK262" s="169"/>
      <c r="SJL262" s="169"/>
      <c r="SJM262" s="169"/>
      <c r="SJN262" s="169"/>
      <c r="SJO262" s="169"/>
      <c r="SJP262" s="169"/>
      <c r="SJQ262" s="169"/>
      <c r="SJR262" s="169"/>
      <c r="SJS262" s="169"/>
      <c r="SJT262" s="169"/>
      <c r="SJU262" s="169"/>
      <c r="SJV262" s="169"/>
      <c r="SJW262" s="169"/>
      <c r="SJX262" s="169"/>
      <c r="SJY262" s="169"/>
      <c r="SJZ262" s="169"/>
      <c r="SKA262" s="169"/>
      <c r="SKB262" s="169"/>
      <c r="SKC262" s="169"/>
      <c r="SKD262" s="169"/>
      <c r="SKE262" s="169"/>
      <c r="SKF262" s="169"/>
      <c r="SKG262" s="169"/>
      <c r="SKH262" s="169"/>
      <c r="SKI262" s="169"/>
      <c r="SKJ262" s="169"/>
      <c r="SKK262" s="169"/>
      <c r="SKL262" s="169"/>
      <c r="SKM262" s="169"/>
      <c r="SKN262" s="169"/>
      <c r="SKO262" s="169"/>
      <c r="SKP262" s="169"/>
      <c r="SKQ262" s="169"/>
      <c r="SKR262" s="169"/>
      <c r="SKS262" s="169"/>
      <c r="SKT262" s="169"/>
      <c r="SKU262" s="169"/>
      <c r="SKV262" s="169"/>
      <c r="SKW262" s="169"/>
      <c r="SKX262" s="169"/>
      <c r="SKY262" s="169"/>
      <c r="SKZ262" s="169"/>
      <c r="SLA262" s="169"/>
      <c r="SLB262" s="169"/>
      <c r="SLC262" s="169"/>
      <c r="SLD262" s="169"/>
      <c r="SLE262" s="169"/>
      <c r="SLF262" s="169"/>
      <c r="SLG262" s="169"/>
      <c r="SLH262" s="169"/>
      <c r="SLI262" s="169"/>
      <c r="SLJ262" s="169"/>
      <c r="SLK262" s="169"/>
      <c r="SLL262" s="169"/>
      <c r="SLM262" s="169"/>
      <c r="SLN262" s="169"/>
      <c r="SLO262" s="169"/>
      <c r="SLP262" s="169"/>
      <c r="SLQ262" s="169"/>
      <c r="SLR262" s="169"/>
      <c r="SLS262" s="169"/>
      <c r="SLT262" s="169"/>
      <c r="SLU262" s="169"/>
      <c r="SLV262" s="169"/>
      <c r="SLW262" s="169"/>
      <c r="SLX262" s="169"/>
      <c r="SLY262" s="169"/>
      <c r="SLZ262" s="169"/>
      <c r="SMA262" s="169"/>
      <c r="SMB262" s="169"/>
      <c r="SMC262" s="169"/>
      <c r="SMD262" s="169"/>
      <c r="SME262" s="169"/>
      <c r="SMF262" s="169"/>
      <c r="SMG262" s="169"/>
      <c r="SMH262" s="169"/>
      <c r="SMI262" s="169"/>
      <c r="SMJ262" s="169"/>
      <c r="SMK262" s="169"/>
      <c r="SML262" s="169"/>
      <c r="SMM262" s="169"/>
      <c r="SMN262" s="169"/>
      <c r="SMO262" s="169"/>
      <c r="SMP262" s="169"/>
      <c r="SMQ262" s="169"/>
      <c r="SMR262" s="169"/>
      <c r="SMS262" s="169"/>
      <c r="SMT262" s="169"/>
      <c r="SMU262" s="169"/>
      <c r="SMV262" s="169"/>
      <c r="SMW262" s="169"/>
      <c r="SMX262" s="169"/>
      <c r="SMY262" s="169"/>
      <c r="SMZ262" s="169"/>
      <c r="SNA262" s="169"/>
      <c r="SNB262" s="169"/>
      <c r="SNC262" s="169"/>
      <c r="SND262" s="169"/>
      <c r="SNE262" s="169"/>
      <c r="SNF262" s="169"/>
      <c r="SNG262" s="169"/>
      <c r="SNH262" s="169"/>
      <c r="SNI262" s="169"/>
      <c r="SNJ262" s="169"/>
      <c r="SNK262" s="169"/>
      <c r="SNL262" s="169"/>
      <c r="SNM262" s="169"/>
      <c r="SNN262" s="169"/>
      <c r="SNO262" s="169"/>
      <c r="SNP262" s="169"/>
      <c r="SNQ262" s="169"/>
      <c r="SNR262" s="169"/>
      <c r="SNS262" s="169"/>
      <c r="SNT262" s="169"/>
      <c r="SNU262" s="169"/>
      <c r="SNV262" s="169"/>
      <c r="SNW262" s="169"/>
      <c r="SNX262" s="169"/>
      <c r="SNY262" s="169"/>
      <c r="SNZ262" s="169"/>
      <c r="SOA262" s="169"/>
      <c r="SOB262" s="169"/>
      <c r="SOC262" s="169"/>
      <c r="SOD262" s="169"/>
      <c r="SOE262" s="169"/>
      <c r="SOF262" s="169"/>
      <c r="SOG262" s="169"/>
      <c r="SOH262" s="169"/>
      <c r="SOI262" s="169"/>
      <c r="SOJ262" s="169"/>
      <c r="SOK262" s="169"/>
      <c r="SOL262" s="169"/>
      <c r="SOM262" s="169"/>
      <c r="SON262" s="169"/>
      <c r="SOO262" s="169"/>
      <c r="SOP262" s="169"/>
      <c r="SOQ262" s="169"/>
      <c r="SOR262" s="169"/>
      <c r="SOS262" s="169"/>
      <c r="SOT262" s="169"/>
      <c r="SOU262" s="169"/>
      <c r="SOV262" s="169"/>
      <c r="SOW262" s="169"/>
      <c r="SOX262" s="169"/>
      <c r="SOY262" s="169"/>
      <c r="SOZ262" s="169"/>
      <c r="SPA262" s="169"/>
      <c r="SPB262" s="169"/>
      <c r="SPC262" s="169"/>
      <c r="SPD262" s="169"/>
      <c r="SPE262" s="169"/>
      <c r="SPF262" s="169"/>
      <c r="SPG262" s="169"/>
      <c r="SPH262" s="169"/>
      <c r="SPI262" s="169"/>
      <c r="SPJ262" s="169"/>
      <c r="SPK262" s="169"/>
      <c r="SPL262" s="169"/>
      <c r="SPM262" s="169"/>
      <c r="SPN262" s="169"/>
      <c r="SPO262" s="169"/>
      <c r="SPP262" s="169"/>
      <c r="SPQ262" s="169"/>
      <c r="SPR262" s="169"/>
      <c r="SPS262" s="169"/>
      <c r="SPT262" s="169"/>
      <c r="SPU262" s="169"/>
      <c r="SPV262" s="169"/>
      <c r="SPW262" s="169"/>
      <c r="SPX262" s="169"/>
      <c r="SPY262" s="169"/>
      <c r="SPZ262" s="169"/>
      <c r="SQA262" s="169"/>
      <c r="SQB262" s="169"/>
      <c r="SQC262" s="169"/>
      <c r="SQD262" s="169"/>
      <c r="SQE262" s="169"/>
      <c r="SQF262" s="169"/>
      <c r="SQG262" s="169"/>
      <c r="SQH262" s="169"/>
      <c r="SQI262" s="169"/>
      <c r="SQJ262" s="169"/>
      <c r="SQK262" s="169"/>
      <c r="SQL262" s="169"/>
      <c r="SQM262" s="169"/>
      <c r="SQN262" s="169"/>
      <c r="SQO262" s="169"/>
      <c r="SQP262" s="169"/>
      <c r="SQQ262" s="169"/>
      <c r="SQR262" s="169"/>
      <c r="SQS262" s="169"/>
      <c r="SQT262" s="169"/>
      <c r="SQU262" s="169"/>
      <c r="SQV262" s="169"/>
      <c r="SQW262" s="169"/>
      <c r="SQX262" s="169"/>
      <c r="SQY262" s="169"/>
      <c r="SQZ262" s="169"/>
      <c r="SRA262" s="169"/>
      <c r="SRB262" s="169"/>
      <c r="SRC262" s="169"/>
      <c r="SRD262" s="169"/>
      <c r="SRE262" s="169"/>
      <c r="SRF262" s="169"/>
      <c r="SRG262" s="169"/>
      <c r="SRH262" s="169"/>
      <c r="SRI262" s="169"/>
      <c r="SRJ262" s="169"/>
      <c r="SRK262" s="169"/>
      <c r="SRL262" s="169"/>
      <c r="SRM262" s="169"/>
      <c r="SRN262" s="169"/>
      <c r="SRO262" s="169"/>
      <c r="SRP262" s="169"/>
      <c r="SRQ262" s="169"/>
      <c r="SRR262" s="169"/>
      <c r="SRS262" s="169"/>
      <c r="SRT262" s="169"/>
      <c r="SRU262" s="169"/>
      <c r="SRV262" s="169"/>
      <c r="SRW262" s="169"/>
      <c r="SRX262" s="169"/>
      <c r="SRY262" s="169"/>
      <c r="SRZ262" s="169"/>
      <c r="SSA262" s="169"/>
      <c r="SSB262" s="169"/>
      <c r="SSC262" s="169"/>
      <c r="SSD262" s="169"/>
      <c r="SSE262" s="169"/>
      <c r="SSF262" s="169"/>
      <c r="SSG262" s="169"/>
      <c r="SSH262" s="169"/>
      <c r="SSI262" s="169"/>
      <c r="SSJ262" s="169"/>
      <c r="SSK262" s="169"/>
      <c r="SSL262" s="169"/>
      <c r="SSM262" s="169"/>
      <c r="SSN262" s="169"/>
      <c r="SSO262" s="169"/>
      <c r="SSP262" s="169"/>
      <c r="SSQ262" s="169"/>
      <c r="SSR262" s="169"/>
      <c r="SSS262" s="169"/>
      <c r="SST262" s="169"/>
      <c r="SSU262" s="169"/>
      <c r="SSV262" s="169"/>
      <c r="SSW262" s="169"/>
      <c r="SSX262" s="169"/>
      <c r="SSY262" s="169"/>
      <c r="SSZ262" s="169"/>
      <c r="STA262" s="169"/>
      <c r="STB262" s="169"/>
      <c r="STC262" s="169"/>
      <c r="STD262" s="169"/>
      <c r="STE262" s="169"/>
      <c r="STF262" s="169"/>
      <c r="STG262" s="169"/>
      <c r="STH262" s="169"/>
      <c r="STI262" s="169"/>
      <c r="STJ262" s="169"/>
      <c r="STK262" s="169"/>
      <c r="STL262" s="169"/>
      <c r="STM262" s="169"/>
      <c r="STN262" s="169"/>
      <c r="STO262" s="169"/>
      <c r="STP262" s="169"/>
      <c r="STQ262" s="169"/>
      <c r="STR262" s="169"/>
      <c r="STS262" s="169"/>
      <c r="STT262" s="169"/>
      <c r="STU262" s="169"/>
      <c r="STV262" s="169"/>
      <c r="STW262" s="169"/>
      <c r="STX262" s="169"/>
      <c r="STY262" s="169"/>
      <c r="STZ262" s="169"/>
      <c r="SUA262" s="169"/>
      <c r="SUB262" s="169"/>
      <c r="SUC262" s="169"/>
      <c r="SUD262" s="169"/>
      <c r="SUE262" s="169"/>
      <c r="SUF262" s="169"/>
      <c r="SUG262" s="169"/>
      <c r="SUH262" s="169"/>
      <c r="SUI262" s="169"/>
      <c r="SUJ262" s="169"/>
      <c r="SUK262" s="169"/>
      <c r="SUL262" s="169"/>
      <c r="SUM262" s="169"/>
      <c r="SUN262" s="169"/>
      <c r="SUO262" s="169"/>
      <c r="SUP262" s="169"/>
      <c r="SUQ262" s="169"/>
      <c r="SUR262" s="169"/>
      <c r="SUS262" s="169"/>
      <c r="SUT262" s="169"/>
      <c r="SUU262" s="169"/>
      <c r="SUV262" s="169"/>
      <c r="SUW262" s="169"/>
      <c r="SUX262" s="169"/>
      <c r="SUY262" s="169"/>
      <c r="SUZ262" s="169"/>
      <c r="SVA262" s="169"/>
      <c r="SVB262" s="169"/>
      <c r="SVC262" s="169"/>
      <c r="SVD262" s="169"/>
      <c r="SVE262" s="169"/>
      <c r="SVF262" s="169"/>
      <c r="SVG262" s="169"/>
      <c r="SVH262" s="169"/>
      <c r="SVI262" s="169"/>
      <c r="SVJ262" s="169"/>
      <c r="SVK262" s="169"/>
      <c r="SVL262" s="169"/>
      <c r="SVM262" s="169"/>
      <c r="SVN262" s="169"/>
      <c r="SVO262" s="169"/>
      <c r="SVP262" s="169"/>
      <c r="SVQ262" s="169"/>
      <c r="SVR262" s="169"/>
      <c r="SVS262" s="169"/>
      <c r="SVT262" s="169"/>
      <c r="SVU262" s="169"/>
      <c r="SVV262" s="169"/>
      <c r="SVW262" s="169"/>
      <c r="SVX262" s="169"/>
      <c r="SVY262" s="169"/>
      <c r="SVZ262" s="169"/>
      <c r="SWA262" s="169"/>
      <c r="SWB262" s="169"/>
      <c r="SWC262" s="169"/>
      <c r="SWD262" s="169"/>
      <c r="SWE262" s="169"/>
      <c r="SWF262" s="169"/>
      <c r="SWG262" s="169"/>
      <c r="SWH262" s="169"/>
      <c r="SWI262" s="169"/>
      <c r="SWJ262" s="169"/>
      <c r="SWK262" s="169"/>
      <c r="SWL262" s="169"/>
      <c r="SWM262" s="169"/>
      <c r="SWN262" s="169"/>
      <c r="SWO262" s="169"/>
      <c r="SWP262" s="169"/>
      <c r="SWQ262" s="169"/>
      <c r="SWR262" s="169"/>
      <c r="SWS262" s="169"/>
      <c r="SWT262" s="169"/>
      <c r="SWU262" s="169"/>
      <c r="SWV262" s="169"/>
      <c r="SWW262" s="169"/>
      <c r="SWX262" s="169"/>
      <c r="SWY262" s="169"/>
      <c r="SWZ262" s="169"/>
      <c r="SXA262" s="169"/>
      <c r="SXB262" s="169"/>
      <c r="SXC262" s="169"/>
      <c r="SXD262" s="169"/>
      <c r="SXE262" s="169"/>
      <c r="SXF262" s="169"/>
      <c r="SXG262" s="169"/>
      <c r="SXH262" s="169"/>
      <c r="SXI262" s="169"/>
      <c r="SXJ262" s="169"/>
      <c r="SXK262" s="169"/>
      <c r="SXL262" s="169"/>
      <c r="SXM262" s="169"/>
      <c r="SXN262" s="169"/>
      <c r="SXO262" s="169"/>
      <c r="SXP262" s="169"/>
      <c r="SXQ262" s="169"/>
      <c r="SXR262" s="169"/>
      <c r="SXS262" s="169"/>
      <c r="SXT262" s="169"/>
      <c r="SXU262" s="169"/>
      <c r="SXV262" s="169"/>
      <c r="SXW262" s="169"/>
      <c r="SXX262" s="169"/>
      <c r="SXY262" s="169"/>
      <c r="SXZ262" s="169"/>
      <c r="SYA262" s="169"/>
      <c r="SYB262" s="169"/>
      <c r="SYC262" s="169"/>
      <c r="SYD262" s="169"/>
      <c r="SYE262" s="169"/>
      <c r="SYF262" s="169"/>
      <c r="SYG262" s="169"/>
      <c r="SYH262" s="169"/>
      <c r="SYI262" s="169"/>
      <c r="SYJ262" s="169"/>
      <c r="SYK262" s="169"/>
      <c r="SYL262" s="169"/>
      <c r="SYM262" s="169"/>
      <c r="SYN262" s="169"/>
      <c r="SYO262" s="169"/>
      <c r="SYP262" s="169"/>
      <c r="SYQ262" s="169"/>
      <c r="SYR262" s="169"/>
      <c r="SYS262" s="169"/>
      <c r="SYT262" s="169"/>
      <c r="SYU262" s="169"/>
      <c r="SYV262" s="169"/>
      <c r="SYW262" s="169"/>
      <c r="SYX262" s="169"/>
      <c r="SYY262" s="169"/>
      <c r="SYZ262" s="169"/>
      <c r="SZA262" s="169"/>
      <c r="SZB262" s="169"/>
      <c r="SZC262" s="169"/>
      <c r="SZD262" s="169"/>
      <c r="SZE262" s="169"/>
      <c r="SZF262" s="169"/>
      <c r="SZG262" s="169"/>
      <c r="SZH262" s="169"/>
      <c r="SZI262" s="169"/>
      <c r="SZJ262" s="169"/>
      <c r="SZK262" s="169"/>
      <c r="SZL262" s="169"/>
      <c r="SZM262" s="169"/>
      <c r="SZN262" s="169"/>
      <c r="SZO262" s="169"/>
      <c r="SZP262" s="169"/>
      <c r="SZQ262" s="169"/>
      <c r="SZR262" s="169"/>
      <c r="SZS262" s="169"/>
      <c r="SZT262" s="169"/>
      <c r="SZU262" s="169"/>
      <c r="SZV262" s="169"/>
      <c r="SZW262" s="169"/>
      <c r="SZX262" s="169"/>
      <c r="SZY262" s="169"/>
      <c r="SZZ262" s="169"/>
      <c r="TAA262" s="169"/>
      <c r="TAB262" s="169"/>
      <c r="TAC262" s="169"/>
      <c r="TAD262" s="169"/>
      <c r="TAE262" s="169"/>
      <c r="TAF262" s="169"/>
      <c r="TAG262" s="169"/>
      <c r="TAH262" s="169"/>
      <c r="TAI262" s="169"/>
      <c r="TAJ262" s="169"/>
      <c r="TAK262" s="169"/>
      <c r="TAL262" s="169"/>
      <c r="TAM262" s="169"/>
      <c r="TAN262" s="169"/>
      <c r="TAO262" s="169"/>
      <c r="TAP262" s="169"/>
      <c r="TAQ262" s="169"/>
      <c r="TAR262" s="169"/>
      <c r="TAS262" s="169"/>
      <c r="TAT262" s="169"/>
      <c r="TAU262" s="169"/>
      <c r="TAV262" s="169"/>
      <c r="TAW262" s="169"/>
      <c r="TAX262" s="169"/>
      <c r="TAY262" s="169"/>
      <c r="TAZ262" s="169"/>
      <c r="TBA262" s="169"/>
      <c r="TBB262" s="169"/>
      <c r="TBC262" s="169"/>
      <c r="TBD262" s="169"/>
      <c r="TBE262" s="169"/>
      <c r="TBF262" s="169"/>
      <c r="TBG262" s="169"/>
      <c r="TBH262" s="169"/>
      <c r="TBI262" s="169"/>
      <c r="TBJ262" s="169"/>
      <c r="TBK262" s="169"/>
      <c r="TBL262" s="169"/>
      <c r="TBM262" s="169"/>
      <c r="TBN262" s="169"/>
      <c r="TBO262" s="169"/>
      <c r="TBP262" s="169"/>
      <c r="TBQ262" s="169"/>
      <c r="TBR262" s="169"/>
      <c r="TBS262" s="169"/>
      <c r="TBT262" s="169"/>
      <c r="TBU262" s="169"/>
      <c r="TBV262" s="169"/>
      <c r="TBW262" s="169"/>
      <c r="TBX262" s="169"/>
      <c r="TBY262" s="169"/>
      <c r="TBZ262" s="169"/>
      <c r="TCA262" s="169"/>
      <c r="TCB262" s="169"/>
      <c r="TCC262" s="169"/>
      <c r="TCD262" s="169"/>
      <c r="TCE262" s="169"/>
      <c r="TCF262" s="169"/>
      <c r="TCG262" s="169"/>
      <c r="TCH262" s="169"/>
      <c r="TCI262" s="169"/>
      <c r="TCJ262" s="169"/>
      <c r="TCK262" s="169"/>
      <c r="TCL262" s="169"/>
      <c r="TCM262" s="169"/>
      <c r="TCN262" s="169"/>
      <c r="TCO262" s="169"/>
      <c r="TCP262" s="169"/>
      <c r="TCQ262" s="169"/>
      <c r="TCR262" s="169"/>
      <c r="TCS262" s="169"/>
      <c r="TCT262" s="169"/>
      <c r="TCU262" s="169"/>
      <c r="TCV262" s="169"/>
      <c r="TCW262" s="169"/>
      <c r="TCX262" s="169"/>
      <c r="TCY262" s="169"/>
      <c r="TCZ262" s="169"/>
      <c r="TDA262" s="169"/>
      <c r="TDB262" s="169"/>
      <c r="TDC262" s="169"/>
      <c r="TDD262" s="169"/>
      <c r="TDE262" s="169"/>
      <c r="TDF262" s="169"/>
      <c r="TDG262" s="169"/>
      <c r="TDH262" s="169"/>
      <c r="TDI262" s="169"/>
      <c r="TDJ262" s="169"/>
      <c r="TDK262" s="169"/>
      <c r="TDL262" s="169"/>
      <c r="TDM262" s="169"/>
      <c r="TDN262" s="169"/>
      <c r="TDO262" s="169"/>
      <c r="TDP262" s="169"/>
      <c r="TDQ262" s="169"/>
      <c r="TDR262" s="169"/>
      <c r="TDS262" s="169"/>
      <c r="TDT262" s="169"/>
      <c r="TDU262" s="169"/>
      <c r="TDV262" s="169"/>
      <c r="TDW262" s="169"/>
      <c r="TDX262" s="169"/>
      <c r="TDY262" s="169"/>
      <c r="TDZ262" s="169"/>
      <c r="TEA262" s="169"/>
      <c r="TEB262" s="169"/>
      <c r="TEC262" s="169"/>
      <c r="TED262" s="169"/>
      <c r="TEE262" s="169"/>
      <c r="TEF262" s="169"/>
      <c r="TEG262" s="169"/>
      <c r="TEH262" s="169"/>
      <c r="TEI262" s="169"/>
      <c r="TEJ262" s="169"/>
      <c r="TEK262" s="169"/>
      <c r="TEL262" s="169"/>
      <c r="TEM262" s="169"/>
      <c r="TEN262" s="169"/>
      <c r="TEO262" s="169"/>
      <c r="TEP262" s="169"/>
      <c r="TEQ262" s="169"/>
      <c r="TER262" s="169"/>
      <c r="TES262" s="169"/>
      <c r="TET262" s="169"/>
      <c r="TEU262" s="169"/>
      <c r="TEV262" s="169"/>
      <c r="TEW262" s="169"/>
      <c r="TEX262" s="169"/>
      <c r="TEY262" s="169"/>
      <c r="TEZ262" s="169"/>
      <c r="TFA262" s="169"/>
      <c r="TFB262" s="169"/>
      <c r="TFC262" s="169"/>
      <c r="TFD262" s="169"/>
      <c r="TFE262" s="169"/>
      <c r="TFF262" s="169"/>
      <c r="TFG262" s="169"/>
      <c r="TFH262" s="169"/>
      <c r="TFI262" s="169"/>
      <c r="TFJ262" s="169"/>
      <c r="TFK262" s="169"/>
      <c r="TFL262" s="169"/>
      <c r="TFM262" s="169"/>
      <c r="TFN262" s="169"/>
      <c r="TFO262" s="169"/>
      <c r="TFP262" s="169"/>
      <c r="TFQ262" s="169"/>
      <c r="TFR262" s="169"/>
      <c r="TFS262" s="169"/>
      <c r="TFT262" s="169"/>
      <c r="TFU262" s="169"/>
      <c r="TFV262" s="169"/>
      <c r="TFW262" s="169"/>
      <c r="TFX262" s="169"/>
      <c r="TFY262" s="169"/>
      <c r="TFZ262" s="169"/>
      <c r="TGA262" s="169"/>
      <c r="TGB262" s="169"/>
      <c r="TGC262" s="169"/>
      <c r="TGD262" s="169"/>
      <c r="TGE262" s="169"/>
      <c r="TGF262" s="169"/>
      <c r="TGG262" s="169"/>
      <c r="TGH262" s="169"/>
      <c r="TGI262" s="169"/>
      <c r="TGJ262" s="169"/>
      <c r="TGK262" s="169"/>
      <c r="TGL262" s="169"/>
      <c r="TGM262" s="169"/>
      <c r="TGN262" s="169"/>
      <c r="TGO262" s="169"/>
      <c r="TGP262" s="169"/>
      <c r="TGQ262" s="169"/>
      <c r="TGR262" s="169"/>
      <c r="TGS262" s="169"/>
      <c r="TGT262" s="169"/>
      <c r="TGU262" s="169"/>
      <c r="TGV262" s="169"/>
      <c r="TGW262" s="169"/>
      <c r="TGX262" s="169"/>
      <c r="TGY262" s="169"/>
      <c r="TGZ262" s="169"/>
      <c r="THA262" s="169"/>
      <c r="THB262" s="169"/>
      <c r="THC262" s="169"/>
      <c r="THD262" s="169"/>
      <c r="THE262" s="169"/>
      <c r="THF262" s="169"/>
      <c r="THG262" s="169"/>
      <c r="THH262" s="169"/>
      <c r="THI262" s="169"/>
      <c r="THJ262" s="169"/>
      <c r="THK262" s="169"/>
      <c r="THL262" s="169"/>
      <c r="THM262" s="169"/>
      <c r="THN262" s="169"/>
      <c r="THO262" s="169"/>
      <c r="THP262" s="169"/>
      <c r="THQ262" s="169"/>
      <c r="THR262" s="169"/>
      <c r="THS262" s="169"/>
      <c r="THT262" s="169"/>
      <c r="THU262" s="169"/>
      <c r="THV262" s="169"/>
      <c r="THW262" s="169"/>
      <c r="THX262" s="169"/>
      <c r="THY262" s="169"/>
      <c r="THZ262" s="169"/>
      <c r="TIA262" s="169"/>
      <c r="TIB262" s="169"/>
      <c r="TIC262" s="169"/>
      <c r="TID262" s="169"/>
      <c r="TIE262" s="169"/>
      <c r="TIF262" s="169"/>
      <c r="TIG262" s="169"/>
      <c r="TIH262" s="169"/>
      <c r="TII262" s="169"/>
      <c r="TIJ262" s="169"/>
      <c r="TIK262" s="169"/>
      <c r="TIL262" s="169"/>
      <c r="TIM262" s="169"/>
      <c r="TIN262" s="169"/>
      <c r="TIO262" s="169"/>
      <c r="TIP262" s="169"/>
      <c r="TIQ262" s="169"/>
      <c r="TIR262" s="169"/>
      <c r="TIS262" s="169"/>
      <c r="TIT262" s="169"/>
      <c r="TIU262" s="169"/>
      <c r="TIV262" s="169"/>
      <c r="TIW262" s="169"/>
      <c r="TIX262" s="169"/>
      <c r="TIY262" s="169"/>
      <c r="TIZ262" s="169"/>
      <c r="TJA262" s="169"/>
      <c r="TJB262" s="169"/>
      <c r="TJC262" s="169"/>
      <c r="TJD262" s="169"/>
      <c r="TJE262" s="169"/>
      <c r="TJF262" s="169"/>
      <c r="TJG262" s="169"/>
      <c r="TJH262" s="169"/>
      <c r="TJI262" s="169"/>
      <c r="TJJ262" s="169"/>
      <c r="TJK262" s="169"/>
      <c r="TJL262" s="169"/>
      <c r="TJM262" s="169"/>
      <c r="TJN262" s="169"/>
      <c r="TJO262" s="169"/>
      <c r="TJP262" s="169"/>
      <c r="TJQ262" s="169"/>
      <c r="TJR262" s="169"/>
      <c r="TJS262" s="169"/>
      <c r="TJT262" s="169"/>
      <c r="TJU262" s="169"/>
      <c r="TJV262" s="169"/>
      <c r="TJW262" s="169"/>
      <c r="TJX262" s="169"/>
      <c r="TJY262" s="169"/>
      <c r="TJZ262" s="169"/>
      <c r="TKA262" s="169"/>
      <c r="TKB262" s="169"/>
      <c r="TKC262" s="169"/>
      <c r="TKD262" s="169"/>
      <c r="TKE262" s="169"/>
      <c r="TKF262" s="169"/>
      <c r="TKG262" s="169"/>
      <c r="TKH262" s="169"/>
      <c r="TKI262" s="169"/>
      <c r="TKJ262" s="169"/>
      <c r="TKK262" s="169"/>
      <c r="TKL262" s="169"/>
      <c r="TKM262" s="169"/>
      <c r="TKN262" s="169"/>
      <c r="TKO262" s="169"/>
      <c r="TKP262" s="169"/>
      <c r="TKQ262" s="169"/>
      <c r="TKR262" s="169"/>
      <c r="TKS262" s="169"/>
      <c r="TKT262" s="169"/>
      <c r="TKU262" s="169"/>
      <c r="TKV262" s="169"/>
      <c r="TKW262" s="169"/>
      <c r="TKX262" s="169"/>
      <c r="TKY262" s="169"/>
      <c r="TKZ262" s="169"/>
      <c r="TLA262" s="169"/>
      <c r="TLB262" s="169"/>
      <c r="TLC262" s="169"/>
      <c r="TLD262" s="169"/>
      <c r="TLE262" s="169"/>
      <c r="TLF262" s="169"/>
      <c r="TLG262" s="169"/>
      <c r="TLH262" s="169"/>
      <c r="TLI262" s="169"/>
      <c r="TLJ262" s="169"/>
      <c r="TLK262" s="169"/>
      <c r="TLL262" s="169"/>
      <c r="TLM262" s="169"/>
      <c r="TLN262" s="169"/>
      <c r="TLO262" s="169"/>
      <c r="TLP262" s="169"/>
      <c r="TLQ262" s="169"/>
      <c r="TLR262" s="169"/>
      <c r="TLS262" s="169"/>
      <c r="TLT262" s="169"/>
      <c r="TLU262" s="169"/>
      <c r="TLV262" s="169"/>
      <c r="TLW262" s="169"/>
      <c r="TLX262" s="169"/>
      <c r="TLY262" s="169"/>
      <c r="TLZ262" s="169"/>
      <c r="TMA262" s="169"/>
      <c r="TMB262" s="169"/>
      <c r="TMC262" s="169"/>
      <c r="TMD262" s="169"/>
      <c r="TME262" s="169"/>
      <c r="TMF262" s="169"/>
      <c r="TMG262" s="169"/>
      <c r="TMH262" s="169"/>
      <c r="TMI262" s="169"/>
      <c r="TMJ262" s="169"/>
      <c r="TMK262" s="169"/>
      <c r="TML262" s="169"/>
      <c r="TMM262" s="169"/>
      <c r="TMN262" s="169"/>
      <c r="TMO262" s="169"/>
      <c r="TMP262" s="169"/>
      <c r="TMQ262" s="169"/>
      <c r="TMR262" s="169"/>
      <c r="TMS262" s="169"/>
      <c r="TMT262" s="169"/>
      <c r="TMU262" s="169"/>
      <c r="TMV262" s="169"/>
      <c r="TMW262" s="169"/>
      <c r="TMX262" s="169"/>
      <c r="TMY262" s="169"/>
      <c r="TMZ262" s="169"/>
      <c r="TNA262" s="169"/>
      <c r="TNB262" s="169"/>
      <c r="TNC262" s="169"/>
      <c r="TND262" s="169"/>
      <c r="TNE262" s="169"/>
      <c r="TNF262" s="169"/>
      <c r="TNG262" s="169"/>
      <c r="TNH262" s="169"/>
      <c r="TNI262" s="169"/>
      <c r="TNJ262" s="169"/>
      <c r="TNK262" s="169"/>
      <c r="TNL262" s="169"/>
      <c r="TNM262" s="169"/>
      <c r="TNN262" s="169"/>
      <c r="TNO262" s="169"/>
      <c r="TNP262" s="169"/>
      <c r="TNQ262" s="169"/>
      <c r="TNR262" s="169"/>
      <c r="TNS262" s="169"/>
      <c r="TNT262" s="169"/>
      <c r="TNU262" s="169"/>
      <c r="TNV262" s="169"/>
      <c r="TNW262" s="169"/>
      <c r="TNX262" s="169"/>
      <c r="TNY262" s="169"/>
      <c r="TNZ262" s="169"/>
      <c r="TOA262" s="169"/>
      <c r="TOB262" s="169"/>
      <c r="TOC262" s="169"/>
      <c r="TOD262" s="169"/>
      <c r="TOE262" s="169"/>
      <c r="TOF262" s="169"/>
      <c r="TOG262" s="169"/>
      <c r="TOH262" s="169"/>
      <c r="TOI262" s="169"/>
      <c r="TOJ262" s="169"/>
      <c r="TOK262" s="169"/>
      <c r="TOL262" s="169"/>
      <c r="TOM262" s="169"/>
      <c r="TON262" s="169"/>
      <c r="TOO262" s="169"/>
      <c r="TOP262" s="169"/>
      <c r="TOQ262" s="169"/>
      <c r="TOR262" s="169"/>
      <c r="TOS262" s="169"/>
      <c r="TOT262" s="169"/>
      <c r="TOU262" s="169"/>
      <c r="TOV262" s="169"/>
      <c r="TOW262" s="169"/>
      <c r="TOX262" s="169"/>
      <c r="TOY262" s="169"/>
      <c r="TOZ262" s="169"/>
      <c r="TPA262" s="169"/>
      <c r="TPB262" s="169"/>
      <c r="TPC262" s="169"/>
      <c r="TPD262" s="169"/>
      <c r="TPE262" s="169"/>
      <c r="TPF262" s="169"/>
      <c r="TPG262" s="169"/>
      <c r="TPH262" s="169"/>
      <c r="TPI262" s="169"/>
      <c r="TPJ262" s="169"/>
      <c r="TPK262" s="169"/>
      <c r="TPL262" s="169"/>
      <c r="TPM262" s="169"/>
      <c r="TPN262" s="169"/>
      <c r="TPO262" s="169"/>
      <c r="TPP262" s="169"/>
      <c r="TPQ262" s="169"/>
      <c r="TPR262" s="169"/>
      <c r="TPS262" s="169"/>
      <c r="TPT262" s="169"/>
      <c r="TPU262" s="169"/>
      <c r="TPV262" s="169"/>
      <c r="TPW262" s="169"/>
      <c r="TPX262" s="169"/>
      <c r="TPY262" s="169"/>
      <c r="TPZ262" s="169"/>
      <c r="TQA262" s="169"/>
      <c r="TQB262" s="169"/>
      <c r="TQC262" s="169"/>
      <c r="TQD262" s="169"/>
      <c r="TQE262" s="169"/>
      <c r="TQF262" s="169"/>
      <c r="TQG262" s="169"/>
      <c r="TQH262" s="169"/>
      <c r="TQI262" s="169"/>
      <c r="TQJ262" s="169"/>
      <c r="TQK262" s="169"/>
      <c r="TQL262" s="169"/>
      <c r="TQM262" s="169"/>
      <c r="TQN262" s="169"/>
      <c r="TQO262" s="169"/>
      <c r="TQP262" s="169"/>
      <c r="TQQ262" s="169"/>
      <c r="TQR262" s="169"/>
      <c r="TQS262" s="169"/>
      <c r="TQT262" s="169"/>
      <c r="TQU262" s="169"/>
      <c r="TQV262" s="169"/>
      <c r="TQW262" s="169"/>
      <c r="TQX262" s="169"/>
      <c r="TQY262" s="169"/>
      <c r="TQZ262" s="169"/>
      <c r="TRA262" s="169"/>
      <c r="TRB262" s="169"/>
      <c r="TRC262" s="169"/>
      <c r="TRD262" s="169"/>
      <c r="TRE262" s="169"/>
      <c r="TRF262" s="169"/>
      <c r="TRG262" s="169"/>
      <c r="TRH262" s="169"/>
      <c r="TRI262" s="169"/>
      <c r="TRJ262" s="169"/>
      <c r="TRK262" s="169"/>
      <c r="TRL262" s="169"/>
      <c r="TRM262" s="169"/>
      <c r="TRN262" s="169"/>
      <c r="TRO262" s="169"/>
      <c r="TRP262" s="169"/>
      <c r="TRQ262" s="169"/>
      <c r="TRR262" s="169"/>
      <c r="TRS262" s="169"/>
      <c r="TRT262" s="169"/>
      <c r="TRU262" s="169"/>
      <c r="TRV262" s="169"/>
      <c r="TRW262" s="169"/>
      <c r="TRX262" s="169"/>
      <c r="TRY262" s="169"/>
      <c r="TRZ262" s="169"/>
      <c r="TSA262" s="169"/>
      <c r="TSB262" s="169"/>
      <c r="TSC262" s="169"/>
      <c r="TSD262" s="169"/>
      <c r="TSE262" s="169"/>
      <c r="TSF262" s="169"/>
      <c r="TSG262" s="169"/>
      <c r="TSH262" s="169"/>
      <c r="TSI262" s="169"/>
      <c r="TSJ262" s="169"/>
      <c r="TSK262" s="169"/>
      <c r="TSL262" s="169"/>
      <c r="TSM262" s="169"/>
      <c r="TSN262" s="169"/>
      <c r="TSO262" s="169"/>
      <c r="TSP262" s="169"/>
      <c r="TSQ262" s="169"/>
      <c r="TSR262" s="169"/>
      <c r="TSS262" s="169"/>
      <c r="TST262" s="169"/>
      <c r="TSU262" s="169"/>
      <c r="TSV262" s="169"/>
      <c r="TSW262" s="169"/>
      <c r="TSX262" s="169"/>
      <c r="TSY262" s="169"/>
      <c r="TSZ262" s="169"/>
      <c r="TTA262" s="169"/>
      <c r="TTB262" s="169"/>
      <c r="TTC262" s="169"/>
      <c r="TTD262" s="169"/>
      <c r="TTE262" s="169"/>
      <c r="TTF262" s="169"/>
      <c r="TTG262" s="169"/>
      <c r="TTH262" s="169"/>
      <c r="TTI262" s="169"/>
      <c r="TTJ262" s="169"/>
      <c r="TTK262" s="169"/>
      <c r="TTL262" s="169"/>
      <c r="TTM262" s="169"/>
      <c r="TTN262" s="169"/>
      <c r="TTO262" s="169"/>
      <c r="TTP262" s="169"/>
      <c r="TTQ262" s="169"/>
      <c r="TTR262" s="169"/>
      <c r="TTS262" s="169"/>
      <c r="TTT262" s="169"/>
      <c r="TTU262" s="169"/>
      <c r="TTV262" s="169"/>
      <c r="TTW262" s="169"/>
      <c r="TTX262" s="169"/>
      <c r="TTY262" s="169"/>
      <c r="TTZ262" s="169"/>
      <c r="TUA262" s="169"/>
      <c r="TUB262" s="169"/>
      <c r="TUC262" s="169"/>
      <c r="TUD262" s="169"/>
      <c r="TUE262" s="169"/>
      <c r="TUF262" s="169"/>
      <c r="TUG262" s="169"/>
      <c r="TUH262" s="169"/>
      <c r="TUI262" s="169"/>
      <c r="TUJ262" s="169"/>
      <c r="TUK262" s="169"/>
      <c r="TUL262" s="169"/>
      <c r="TUM262" s="169"/>
      <c r="TUN262" s="169"/>
      <c r="TUO262" s="169"/>
      <c r="TUP262" s="169"/>
      <c r="TUQ262" s="169"/>
      <c r="TUR262" s="169"/>
      <c r="TUS262" s="169"/>
      <c r="TUT262" s="169"/>
      <c r="TUU262" s="169"/>
      <c r="TUV262" s="169"/>
      <c r="TUW262" s="169"/>
      <c r="TUX262" s="169"/>
      <c r="TUY262" s="169"/>
      <c r="TUZ262" s="169"/>
      <c r="TVA262" s="169"/>
      <c r="TVB262" s="169"/>
      <c r="TVC262" s="169"/>
      <c r="TVD262" s="169"/>
      <c r="TVE262" s="169"/>
      <c r="TVF262" s="169"/>
      <c r="TVG262" s="169"/>
      <c r="TVH262" s="169"/>
      <c r="TVI262" s="169"/>
      <c r="TVJ262" s="169"/>
      <c r="TVK262" s="169"/>
      <c r="TVL262" s="169"/>
      <c r="TVM262" s="169"/>
      <c r="TVN262" s="169"/>
      <c r="TVO262" s="169"/>
      <c r="TVP262" s="169"/>
      <c r="TVQ262" s="169"/>
      <c r="TVR262" s="169"/>
      <c r="TVS262" s="169"/>
      <c r="TVT262" s="169"/>
      <c r="TVU262" s="169"/>
      <c r="TVV262" s="169"/>
      <c r="TVW262" s="169"/>
      <c r="TVX262" s="169"/>
      <c r="TVY262" s="169"/>
      <c r="TVZ262" s="169"/>
      <c r="TWA262" s="169"/>
      <c r="TWB262" s="169"/>
      <c r="TWC262" s="169"/>
      <c r="TWD262" s="169"/>
      <c r="TWE262" s="169"/>
      <c r="TWF262" s="169"/>
      <c r="TWG262" s="169"/>
      <c r="TWH262" s="169"/>
      <c r="TWI262" s="169"/>
      <c r="TWJ262" s="169"/>
      <c r="TWK262" s="169"/>
      <c r="TWL262" s="169"/>
      <c r="TWM262" s="169"/>
      <c r="TWN262" s="169"/>
      <c r="TWO262" s="169"/>
      <c r="TWP262" s="169"/>
      <c r="TWQ262" s="169"/>
      <c r="TWR262" s="169"/>
      <c r="TWS262" s="169"/>
      <c r="TWT262" s="169"/>
      <c r="TWU262" s="169"/>
      <c r="TWV262" s="169"/>
      <c r="TWW262" s="169"/>
      <c r="TWX262" s="169"/>
      <c r="TWY262" s="169"/>
      <c r="TWZ262" s="169"/>
      <c r="TXA262" s="169"/>
      <c r="TXB262" s="169"/>
      <c r="TXC262" s="169"/>
      <c r="TXD262" s="169"/>
      <c r="TXE262" s="169"/>
      <c r="TXF262" s="169"/>
      <c r="TXG262" s="169"/>
      <c r="TXH262" s="169"/>
      <c r="TXI262" s="169"/>
      <c r="TXJ262" s="169"/>
      <c r="TXK262" s="169"/>
      <c r="TXL262" s="169"/>
      <c r="TXM262" s="169"/>
      <c r="TXN262" s="169"/>
      <c r="TXO262" s="169"/>
      <c r="TXP262" s="169"/>
      <c r="TXQ262" s="169"/>
      <c r="TXR262" s="169"/>
      <c r="TXS262" s="169"/>
      <c r="TXT262" s="169"/>
      <c r="TXU262" s="169"/>
      <c r="TXV262" s="169"/>
      <c r="TXW262" s="169"/>
      <c r="TXX262" s="169"/>
      <c r="TXY262" s="169"/>
      <c r="TXZ262" s="169"/>
      <c r="TYA262" s="169"/>
      <c r="TYB262" s="169"/>
      <c r="TYC262" s="169"/>
      <c r="TYD262" s="169"/>
      <c r="TYE262" s="169"/>
      <c r="TYF262" s="169"/>
      <c r="TYG262" s="169"/>
      <c r="TYH262" s="169"/>
      <c r="TYI262" s="169"/>
      <c r="TYJ262" s="169"/>
      <c r="TYK262" s="169"/>
      <c r="TYL262" s="169"/>
      <c r="TYM262" s="169"/>
      <c r="TYN262" s="169"/>
      <c r="TYO262" s="169"/>
      <c r="TYP262" s="169"/>
      <c r="TYQ262" s="169"/>
      <c r="TYR262" s="169"/>
      <c r="TYS262" s="169"/>
      <c r="TYT262" s="169"/>
      <c r="TYU262" s="169"/>
      <c r="TYV262" s="169"/>
      <c r="TYW262" s="169"/>
      <c r="TYX262" s="169"/>
      <c r="TYY262" s="169"/>
      <c r="TYZ262" s="169"/>
      <c r="TZA262" s="169"/>
      <c r="TZB262" s="169"/>
      <c r="TZC262" s="169"/>
      <c r="TZD262" s="169"/>
      <c r="TZE262" s="169"/>
      <c r="TZF262" s="169"/>
      <c r="TZG262" s="169"/>
      <c r="TZH262" s="169"/>
      <c r="TZI262" s="169"/>
      <c r="TZJ262" s="169"/>
      <c r="TZK262" s="169"/>
      <c r="TZL262" s="169"/>
      <c r="TZM262" s="169"/>
      <c r="TZN262" s="169"/>
      <c r="TZO262" s="169"/>
      <c r="TZP262" s="169"/>
      <c r="TZQ262" s="169"/>
      <c r="TZR262" s="169"/>
      <c r="TZS262" s="169"/>
      <c r="TZT262" s="169"/>
      <c r="TZU262" s="169"/>
      <c r="TZV262" s="169"/>
      <c r="TZW262" s="169"/>
      <c r="TZX262" s="169"/>
      <c r="TZY262" s="169"/>
      <c r="TZZ262" s="169"/>
      <c r="UAA262" s="169"/>
      <c r="UAB262" s="169"/>
      <c r="UAC262" s="169"/>
      <c r="UAD262" s="169"/>
      <c r="UAE262" s="169"/>
      <c r="UAF262" s="169"/>
      <c r="UAG262" s="169"/>
      <c r="UAH262" s="169"/>
      <c r="UAI262" s="169"/>
      <c r="UAJ262" s="169"/>
      <c r="UAK262" s="169"/>
      <c r="UAL262" s="169"/>
      <c r="UAM262" s="169"/>
      <c r="UAN262" s="169"/>
      <c r="UAO262" s="169"/>
      <c r="UAP262" s="169"/>
      <c r="UAQ262" s="169"/>
      <c r="UAR262" s="169"/>
      <c r="UAS262" s="169"/>
      <c r="UAT262" s="169"/>
      <c r="UAU262" s="169"/>
      <c r="UAV262" s="169"/>
      <c r="UAW262" s="169"/>
      <c r="UAX262" s="169"/>
      <c r="UAY262" s="169"/>
      <c r="UAZ262" s="169"/>
      <c r="UBA262" s="169"/>
      <c r="UBB262" s="169"/>
      <c r="UBC262" s="169"/>
      <c r="UBD262" s="169"/>
      <c r="UBE262" s="169"/>
      <c r="UBF262" s="169"/>
      <c r="UBG262" s="169"/>
      <c r="UBH262" s="169"/>
      <c r="UBI262" s="169"/>
      <c r="UBJ262" s="169"/>
      <c r="UBK262" s="169"/>
      <c r="UBL262" s="169"/>
      <c r="UBM262" s="169"/>
      <c r="UBN262" s="169"/>
      <c r="UBO262" s="169"/>
      <c r="UBP262" s="169"/>
      <c r="UBQ262" s="169"/>
      <c r="UBR262" s="169"/>
      <c r="UBS262" s="169"/>
      <c r="UBT262" s="169"/>
      <c r="UBU262" s="169"/>
      <c r="UBV262" s="169"/>
      <c r="UBW262" s="169"/>
      <c r="UBX262" s="169"/>
      <c r="UBY262" s="169"/>
      <c r="UBZ262" s="169"/>
      <c r="UCA262" s="169"/>
      <c r="UCB262" s="169"/>
      <c r="UCC262" s="169"/>
      <c r="UCD262" s="169"/>
      <c r="UCE262" s="169"/>
      <c r="UCF262" s="169"/>
      <c r="UCG262" s="169"/>
      <c r="UCH262" s="169"/>
      <c r="UCI262" s="169"/>
      <c r="UCJ262" s="169"/>
      <c r="UCK262" s="169"/>
      <c r="UCL262" s="169"/>
      <c r="UCM262" s="169"/>
      <c r="UCN262" s="169"/>
      <c r="UCO262" s="169"/>
      <c r="UCP262" s="169"/>
      <c r="UCQ262" s="169"/>
      <c r="UCR262" s="169"/>
      <c r="UCS262" s="169"/>
      <c r="UCT262" s="169"/>
      <c r="UCU262" s="169"/>
      <c r="UCV262" s="169"/>
      <c r="UCW262" s="169"/>
      <c r="UCX262" s="169"/>
      <c r="UCY262" s="169"/>
      <c r="UCZ262" s="169"/>
      <c r="UDA262" s="169"/>
      <c r="UDB262" s="169"/>
      <c r="UDC262" s="169"/>
      <c r="UDD262" s="169"/>
      <c r="UDE262" s="169"/>
      <c r="UDF262" s="169"/>
      <c r="UDG262" s="169"/>
      <c r="UDH262" s="169"/>
      <c r="UDI262" s="169"/>
      <c r="UDJ262" s="169"/>
      <c r="UDK262" s="169"/>
      <c r="UDL262" s="169"/>
      <c r="UDM262" s="169"/>
      <c r="UDN262" s="169"/>
      <c r="UDO262" s="169"/>
      <c r="UDP262" s="169"/>
      <c r="UDQ262" s="169"/>
      <c r="UDR262" s="169"/>
      <c r="UDS262" s="169"/>
      <c r="UDT262" s="169"/>
      <c r="UDU262" s="169"/>
      <c r="UDV262" s="169"/>
      <c r="UDW262" s="169"/>
      <c r="UDX262" s="169"/>
      <c r="UDY262" s="169"/>
      <c r="UDZ262" s="169"/>
      <c r="UEA262" s="169"/>
      <c r="UEB262" s="169"/>
      <c r="UEC262" s="169"/>
      <c r="UED262" s="169"/>
      <c r="UEE262" s="169"/>
      <c r="UEF262" s="169"/>
      <c r="UEG262" s="169"/>
      <c r="UEH262" s="169"/>
      <c r="UEI262" s="169"/>
      <c r="UEJ262" s="169"/>
      <c r="UEK262" s="169"/>
      <c r="UEL262" s="169"/>
      <c r="UEM262" s="169"/>
      <c r="UEN262" s="169"/>
      <c r="UEO262" s="169"/>
      <c r="UEP262" s="169"/>
      <c r="UEQ262" s="169"/>
      <c r="UER262" s="169"/>
      <c r="UES262" s="169"/>
      <c r="UET262" s="169"/>
      <c r="UEU262" s="169"/>
      <c r="UEV262" s="169"/>
      <c r="UEW262" s="169"/>
      <c r="UEX262" s="169"/>
      <c r="UEY262" s="169"/>
      <c r="UEZ262" s="169"/>
      <c r="UFA262" s="169"/>
      <c r="UFB262" s="169"/>
      <c r="UFC262" s="169"/>
      <c r="UFD262" s="169"/>
      <c r="UFE262" s="169"/>
      <c r="UFF262" s="169"/>
      <c r="UFG262" s="169"/>
      <c r="UFH262" s="169"/>
      <c r="UFI262" s="169"/>
      <c r="UFJ262" s="169"/>
      <c r="UFK262" s="169"/>
      <c r="UFL262" s="169"/>
      <c r="UFM262" s="169"/>
      <c r="UFN262" s="169"/>
      <c r="UFO262" s="169"/>
      <c r="UFP262" s="169"/>
      <c r="UFQ262" s="169"/>
      <c r="UFR262" s="169"/>
      <c r="UFS262" s="169"/>
      <c r="UFT262" s="169"/>
      <c r="UFU262" s="169"/>
      <c r="UFV262" s="169"/>
      <c r="UFW262" s="169"/>
      <c r="UFX262" s="169"/>
      <c r="UFY262" s="169"/>
      <c r="UFZ262" s="169"/>
      <c r="UGA262" s="169"/>
      <c r="UGB262" s="169"/>
      <c r="UGC262" s="169"/>
      <c r="UGD262" s="169"/>
      <c r="UGE262" s="169"/>
      <c r="UGF262" s="169"/>
      <c r="UGG262" s="169"/>
      <c r="UGH262" s="169"/>
      <c r="UGI262" s="169"/>
      <c r="UGJ262" s="169"/>
      <c r="UGK262" s="169"/>
      <c r="UGL262" s="169"/>
      <c r="UGM262" s="169"/>
      <c r="UGN262" s="169"/>
      <c r="UGO262" s="169"/>
      <c r="UGP262" s="169"/>
      <c r="UGQ262" s="169"/>
      <c r="UGR262" s="169"/>
      <c r="UGS262" s="169"/>
      <c r="UGT262" s="169"/>
      <c r="UGU262" s="169"/>
      <c r="UGV262" s="169"/>
      <c r="UGW262" s="169"/>
      <c r="UGX262" s="169"/>
      <c r="UGY262" s="169"/>
      <c r="UGZ262" s="169"/>
      <c r="UHA262" s="169"/>
      <c r="UHB262" s="169"/>
      <c r="UHC262" s="169"/>
      <c r="UHD262" s="169"/>
      <c r="UHE262" s="169"/>
      <c r="UHF262" s="169"/>
      <c r="UHG262" s="169"/>
      <c r="UHH262" s="169"/>
      <c r="UHI262" s="169"/>
      <c r="UHJ262" s="169"/>
      <c r="UHK262" s="169"/>
      <c r="UHL262" s="169"/>
      <c r="UHM262" s="169"/>
      <c r="UHN262" s="169"/>
      <c r="UHO262" s="169"/>
      <c r="UHP262" s="169"/>
      <c r="UHQ262" s="169"/>
      <c r="UHR262" s="169"/>
      <c r="UHS262" s="169"/>
      <c r="UHT262" s="169"/>
      <c r="UHU262" s="169"/>
      <c r="UHV262" s="169"/>
      <c r="UHW262" s="169"/>
      <c r="UHX262" s="169"/>
      <c r="UHY262" s="169"/>
      <c r="UHZ262" s="169"/>
      <c r="UIA262" s="169"/>
      <c r="UIB262" s="169"/>
      <c r="UIC262" s="169"/>
      <c r="UID262" s="169"/>
      <c r="UIE262" s="169"/>
      <c r="UIF262" s="169"/>
      <c r="UIG262" s="169"/>
      <c r="UIH262" s="169"/>
      <c r="UII262" s="169"/>
      <c r="UIJ262" s="169"/>
      <c r="UIK262" s="169"/>
      <c r="UIL262" s="169"/>
      <c r="UIM262" s="169"/>
      <c r="UIN262" s="169"/>
      <c r="UIO262" s="169"/>
      <c r="UIP262" s="169"/>
      <c r="UIQ262" s="169"/>
      <c r="UIR262" s="169"/>
      <c r="UIS262" s="169"/>
      <c r="UIT262" s="169"/>
      <c r="UIU262" s="169"/>
      <c r="UIV262" s="169"/>
      <c r="UIW262" s="169"/>
      <c r="UIX262" s="169"/>
      <c r="UIY262" s="169"/>
      <c r="UIZ262" s="169"/>
      <c r="UJA262" s="169"/>
      <c r="UJB262" s="169"/>
      <c r="UJC262" s="169"/>
      <c r="UJD262" s="169"/>
      <c r="UJE262" s="169"/>
      <c r="UJF262" s="169"/>
      <c r="UJG262" s="169"/>
      <c r="UJH262" s="169"/>
      <c r="UJI262" s="169"/>
      <c r="UJJ262" s="169"/>
      <c r="UJK262" s="169"/>
      <c r="UJL262" s="169"/>
      <c r="UJM262" s="169"/>
      <c r="UJN262" s="169"/>
      <c r="UJO262" s="169"/>
      <c r="UJP262" s="169"/>
      <c r="UJQ262" s="169"/>
      <c r="UJR262" s="169"/>
      <c r="UJS262" s="169"/>
      <c r="UJT262" s="169"/>
      <c r="UJU262" s="169"/>
      <c r="UJV262" s="169"/>
      <c r="UJW262" s="169"/>
      <c r="UJX262" s="169"/>
      <c r="UJY262" s="169"/>
      <c r="UJZ262" s="169"/>
      <c r="UKA262" s="169"/>
      <c r="UKB262" s="169"/>
      <c r="UKC262" s="169"/>
      <c r="UKD262" s="169"/>
      <c r="UKE262" s="169"/>
      <c r="UKF262" s="169"/>
      <c r="UKG262" s="169"/>
      <c r="UKH262" s="169"/>
      <c r="UKI262" s="169"/>
      <c r="UKJ262" s="169"/>
      <c r="UKK262" s="169"/>
      <c r="UKL262" s="169"/>
      <c r="UKM262" s="169"/>
      <c r="UKN262" s="169"/>
      <c r="UKO262" s="169"/>
      <c r="UKP262" s="169"/>
      <c r="UKQ262" s="169"/>
      <c r="UKR262" s="169"/>
      <c r="UKS262" s="169"/>
      <c r="UKT262" s="169"/>
      <c r="UKU262" s="169"/>
      <c r="UKV262" s="169"/>
      <c r="UKW262" s="169"/>
      <c r="UKX262" s="169"/>
      <c r="UKY262" s="169"/>
      <c r="UKZ262" s="169"/>
      <c r="ULA262" s="169"/>
      <c r="ULB262" s="169"/>
      <c r="ULC262" s="169"/>
      <c r="ULD262" s="169"/>
      <c r="ULE262" s="169"/>
      <c r="ULF262" s="169"/>
      <c r="ULG262" s="169"/>
      <c r="ULH262" s="169"/>
      <c r="ULI262" s="169"/>
      <c r="ULJ262" s="169"/>
      <c r="ULK262" s="169"/>
      <c r="ULL262" s="169"/>
      <c r="ULM262" s="169"/>
      <c r="ULN262" s="169"/>
      <c r="ULO262" s="169"/>
      <c r="ULP262" s="169"/>
      <c r="ULQ262" s="169"/>
      <c r="ULR262" s="169"/>
      <c r="ULS262" s="169"/>
      <c r="ULT262" s="169"/>
      <c r="ULU262" s="169"/>
      <c r="ULV262" s="169"/>
      <c r="ULW262" s="169"/>
      <c r="ULX262" s="169"/>
      <c r="ULY262" s="169"/>
      <c r="ULZ262" s="169"/>
      <c r="UMA262" s="169"/>
      <c r="UMB262" s="169"/>
      <c r="UMC262" s="169"/>
      <c r="UMD262" s="169"/>
      <c r="UME262" s="169"/>
      <c r="UMF262" s="169"/>
      <c r="UMG262" s="169"/>
      <c r="UMH262" s="169"/>
      <c r="UMI262" s="169"/>
      <c r="UMJ262" s="169"/>
      <c r="UMK262" s="169"/>
      <c r="UML262" s="169"/>
      <c r="UMM262" s="169"/>
      <c r="UMN262" s="169"/>
      <c r="UMO262" s="169"/>
      <c r="UMP262" s="169"/>
      <c r="UMQ262" s="169"/>
      <c r="UMR262" s="169"/>
      <c r="UMS262" s="169"/>
      <c r="UMT262" s="169"/>
      <c r="UMU262" s="169"/>
      <c r="UMV262" s="169"/>
      <c r="UMW262" s="169"/>
      <c r="UMX262" s="169"/>
      <c r="UMY262" s="169"/>
      <c r="UMZ262" s="169"/>
      <c r="UNA262" s="169"/>
      <c r="UNB262" s="169"/>
      <c r="UNC262" s="169"/>
      <c r="UND262" s="169"/>
      <c r="UNE262" s="169"/>
      <c r="UNF262" s="169"/>
      <c r="UNG262" s="169"/>
      <c r="UNH262" s="169"/>
      <c r="UNI262" s="169"/>
      <c r="UNJ262" s="169"/>
      <c r="UNK262" s="169"/>
      <c r="UNL262" s="169"/>
      <c r="UNM262" s="169"/>
      <c r="UNN262" s="169"/>
      <c r="UNO262" s="169"/>
      <c r="UNP262" s="169"/>
      <c r="UNQ262" s="169"/>
      <c r="UNR262" s="169"/>
      <c r="UNS262" s="169"/>
      <c r="UNT262" s="169"/>
      <c r="UNU262" s="169"/>
      <c r="UNV262" s="169"/>
      <c r="UNW262" s="169"/>
      <c r="UNX262" s="169"/>
      <c r="UNY262" s="169"/>
      <c r="UNZ262" s="169"/>
      <c r="UOA262" s="169"/>
      <c r="UOB262" s="169"/>
      <c r="UOC262" s="169"/>
      <c r="UOD262" s="169"/>
      <c r="UOE262" s="169"/>
      <c r="UOF262" s="169"/>
      <c r="UOG262" s="169"/>
      <c r="UOH262" s="169"/>
      <c r="UOI262" s="169"/>
      <c r="UOJ262" s="169"/>
      <c r="UOK262" s="169"/>
      <c r="UOL262" s="169"/>
      <c r="UOM262" s="169"/>
      <c r="UON262" s="169"/>
      <c r="UOO262" s="169"/>
      <c r="UOP262" s="169"/>
      <c r="UOQ262" s="169"/>
      <c r="UOR262" s="169"/>
      <c r="UOS262" s="169"/>
      <c r="UOT262" s="169"/>
      <c r="UOU262" s="169"/>
      <c r="UOV262" s="169"/>
      <c r="UOW262" s="169"/>
      <c r="UOX262" s="169"/>
      <c r="UOY262" s="169"/>
      <c r="UOZ262" s="169"/>
      <c r="UPA262" s="169"/>
      <c r="UPB262" s="169"/>
      <c r="UPC262" s="169"/>
      <c r="UPD262" s="169"/>
      <c r="UPE262" s="169"/>
      <c r="UPF262" s="169"/>
      <c r="UPG262" s="169"/>
      <c r="UPH262" s="169"/>
      <c r="UPI262" s="169"/>
      <c r="UPJ262" s="169"/>
      <c r="UPK262" s="169"/>
      <c r="UPL262" s="169"/>
      <c r="UPM262" s="169"/>
      <c r="UPN262" s="169"/>
      <c r="UPO262" s="169"/>
      <c r="UPP262" s="169"/>
      <c r="UPQ262" s="169"/>
      <c r="UPR262" s="169"/>
      <c r="UPS262" s="169"/>
      <c r="UPT262" s="169"/>
      <c r="UPU262" s="169"/>
      <c r="UPV262" s="169"/>
      <c r="UPW262" s="169"/>
      <c r="UPX262" s="169"/>
      <c r="UPY262" s="169"/>
      <c r="UPZ262" s="169"/>
      <c r="UQA262" s="169"/>
      <c r="UQB262" s="169"/>
      <c r="UQC262" s="169"/>
      <c r="UQD262" s="169"/>
      <c r="UQE262" s="169"/>
      <c r="UQF262" s="169"/>
      <c r="UQG262" s="169"/>
      <c r="UQH262" s="169"/>
      <c r="UQI262" s="169"/>
      <c r="UQJ262" s="169"/>
      <c r="UQK262" s="169"/>
      <c r="UQL262" s="169"/>
      <c r="UQM262" s="169"/>
      <c r="UQN262" s="169"/>
      <c r="UQO262" s="169"/>
      <c r="UQP262" s="169"/>
      <c r="UQQ262" s="169"/>
      <c r="UQR262" s="169"/>
      <c r="UQS262" s="169"/>
      <c r="UQT262" s="169"/>
      <c r="UQU262" s="169"/>
      <c r="UQV262" s="169"/>
      <c r="UQW262" s="169"/>
      <c r="UQX262" s="169"/>
      <c r="UQY262" s="169"/>
      <c r="UQZ262" s="169"/>
      <c r="URA262" s="169"/>
      <c r="URB262" s="169"/>
      <c r="URC262" s="169"/>
      <c r="URD262" s="169"/>
      <c r="URE262" s="169"/>
      <c r="URF262" s="169"/>
      <c r="URG262" s="169"/>
      <c r="URH262" s="169"/>
      <c r="URI262" s="169"/>
      <c r="URJ262" s="169"/>
      <c r="URK262" s="169"/>
      <c r="URL262" s="169"/>
      <c r="URM262" s="169"/>
      <c r="URN262" s="169"/>
      <c r="URO262" s="169"/>
      <c r="URP262" s="169"/>
      <c r="URQ262" s="169"/>
      <c r="URR262" s="169"/>
      <c r="URS262" s="169"/>
      <c r="URT262" s="169"/>
      <c r="URU262" s="169"/>
      <c r="URV262" s="169"/>
      <c r="URW262" s="169"/>
      <c r="URX262" s="169"/>
      <c r="URY262" s="169"/>
      <c r="URZ262" s="169"/>
      <c r="USA262" s="169"/>
      <c r="USB262" s="169"/>
      <c r="USC262" s="169"/>
      <c r="USD262" s="169"/>
      <c r="USE262" s="169"/>
      <c r="USF262" s="169"/>
      <c r="USG262" s="169"/>
      <c r="USH262" s="169"/>
      <c r="USI262" s="169"/>
      <c r="USJ262" s="169"/>
      <c r="USK262" s="169"/>
      <c r="USL262" s="169"/>
      <c r="USM262" s="169"/>
      <c r="USN262" s="169"/>
      <c r="USO262" s="169"/>
      <c r="USP262" s="169"/>
      <c r="USQ262" s="169"/>
      <c r="USR262" s="169"/>
      <c r="USS262" s="169"/>
      <c r="UST262" s="169"/>
      <c r="USU262" s="169"/>
      <c r="USV262" s="169"/>
      <c r="USW262" s="169"/>
      <c r="USX262" s="169"/>
      <c r="USY262" s="169"/>
      <c r="USZ262" s="169"/>
      <c r="UTA262" s="169"/>
      <c r="UTB262" s="169"/>
      <c r="UTC262" s="169"/>
      <c r="UTD262" s="169"/>
      <c r="UTE262" s="169"/>
      <c r="UTF262" s="169"/>
      <c r="UTG262" s="169"/>
      <c r="UTH262" s="169"/>
      <c r="UTI262" s="169"/>
      <c r="UTJ262" s="169"/>
      <c r="UTK262" s="169"/>
      <c r="UTL262" s="169"/>
      <c r="UTM262" s="169"/>
      <c r="UTN262" s="169"/>
      <c r="UTO262" s="169"/>
      <c r="UTP262" s="169"/>
      <c r="UTQ262" s="169"/>
      <c r="UTR262" s="169"/>
      <c r="UTS262" s="169"/>
      <c r="UTT262" s="169"/>
      <c r="UTU262" s="169"/>
      <c r="UTV262" s="169"/>
      <c r="UTW262" s="169"/>
      <c r="UTX262" s="169"/>
      <c r="UTY262" s="169"/>
      <c r="UTZ262" s="169"/>
      <c r="UUA262" s="169"/>
      <c r="UUB262" s="169"/>
      <c r="UUC262" s="169"/>
      <c r="UUD262" s="169"/>
      <c r="UUE262" s="169"/>
      <c r="UUF262" s="169"/>
      <c r="UUG262" s="169"/>
      <c r="UUH262" s="169"/>
      <c r="UUI262" s="169"/>
      <c r="UUJ262" s="169"/>
      <c r="UUK262" s="169"/>
      <c r="UUL262" s="169"/>
      <c r="UUM262" s="169"/>
      <c r="UUN262" s="169"/>
      <c r="UUO262" s="169"/>
      <c r="UUP262" s="169"/>
      <c r="UUQ262" s="169"/>
      <c r="UUR262" s="169"/>
      <c r="UUS262" s="169"/>
      <c r="UUT262" s="169"/>
      <c r="UUU262" s="169"/>
      <c r="UUV262" s="169"/>
      <c r="UUW262" s="169"/>
      <c r="UUX262" s="169"/>
      <c r="UUY262" s="169"/>
      <c r="UUZ262" s="169"/>
      <c r="UVA262" s="169"/>
      <c r="UVB262" s="169"/>
      <c r="UVC262" s="169"/>
      <c r="UVD262" s="169"/>
      <c r="UVE262" s="169"/>
      <c r="UVF262" s="169"/>
      <c r="UVG262" s="169"/>
      <c r="UVH262" s="169"/>
      <c r="UVI262" s="169"/>
      <c r="UVJ262" s="169"/>
      <c r="UVK262" s="169"/>
      <c r="UVL262" s="169"/>
      <c r="UVM262" s="169"/>
      <c r="UVN262" s="169"/>
      <c r="UVO262" s="169"/>
      <c r="UVP262" s="169"/>
      <c r="UVQ262" s="169"/>
      <c r="UVR262" s="169"/>
      <c r="UVS262" s="169"/>
      <c r="UVT262" s="169"/>
      <c r="UVU262" s="169"/>
      <c r="UVV262" s="169"/>
      <c r="UVW262" s="169"/>
      <c r="UVX262" s="169"/>
      <c r="UVY262" s="169"/>
      <c r="UVZ262" s="169"/>
      <c r="UWA262" s="169"/>
      <c r="UWB262" s="169"/>
      <c r="UWC262" s="169"/>
      <c r="UWD262" s="169"/>
      <c r="UWE262" s="169"/>
      <c r="UWF262" s="169"/>
      <c r="UWG262" s="169"/>
      <c r="UWH262" s="169"/>
      <c r="UWI262" s="169"/>
      <c r="UWJ262" s="169"/>
      <c r="UWK262" s="169"/>
      <c r="UWL262" s="169"/>
      <c r="UWM262" s="169"/>
      <c r="UWN262" s="169"/>
      <c r="UWO262" s="169"/>
      <c r="UWP262" s="169"/>
      <c r="UWQ262" s="169"/>
      <c r="UWR262" s="169"/>
      <c r="UWS262" s="169"/>
      <c r="UWT262" s="169"/>
      <c r="UWU262" s="169"/>
      <c r="UWV262" s="169"/>
      <c r="UWW262" s="169"/>
      <c r="UWX262" s="169"/>
      <c r="UWY262" s="169"/>
      <c r="UWZ262" s="169"/>
      <c r="UXA262" s="169"/>
      <c r="UXB262" s="169"/>
      <c r="UXC262" s="169"/>
      <c r="UXD262" s="169"/>
      <c r="UXE262" s="169"/>
      <c r="UXF262" s="169"/>
      <c r="UXG262" s="169"/>
      <c r="UXH262" s="169"/>
      <c r="UXI262" s="169"/>
      <c r="UXJ262" s="169"/>
      <c r="UXK262" s="169"/>
      <c r="UXL262" s="169"/>
      <c r="UXM262" s="169"/>
      <c r="UXN262" s="169"/>
      <c r="UXO262" s="169"/>
      <c r="UXP262" s="169"/>
      <c r="UXQ262" s="169"/>
      <c r="UXR262" s="169"/>
      <c r="UXS262" s="169"/>
      <c r="UXT262" s="169"/>
      <c r="UXU262" s="169"/>
      <c r="UXV262" s="169"/>
      <c r="UXW262" s="169"/>
      <c r="UXX262" s="169"/>
      <c r="UXY262" s="169"/>
      <c r="UXZ262" s="169"/>
      <c r="UYA262" s="169"/>
      <c r="UYB262" s="169"/>
      <c r="UYC262" s="169"/>
      <c r="UYD262" s="169"/>
      <c r="UYE262" s="169"/>
      <c r="UYF262" s="169"/>
      <c r="UYG262" s="169"/>
      <c r="UYH262" s="169"/>
      <c r="UYI262" s="169"/>
      <c r="UYJ262" s="169"/>
      <c r="UYK262" s="169"/>
      <c r="UYL262" s="169"/>
      <c r="UYM262" s="169"/>
      <c r="UYN262" s="169"/>
      <c r="UYO262" s="169"/>
      <c r="UYP262" s="169"/>
      <c r="UYQ262" s="169"/>
      <c r="UYR262" s="169"/>
      <c r="UYS262" s="169"/>
      <c r="UYT262" s="169"/>
      <c r="UYU262" s="169"/>
      <c r="UYV262" s="169"/>
      <c r="UYW262" s="169"/>
      <c r="UYX262" s="169"/>
      <c r="UYY262" s="169"/>
      <c r="UYZ262" s="169"/>
      <c r="UZA262" s="169"/>
      <c r="UZB262" s="169"/>
      <c r="UZC262" s="169"/>
      <c r="UZD262" s="169"/>
      <c r="UZE262" s="169"/>
      <c r="UZF262" s="169"/>
      <c r="UZG262" s="169"/>
      <c r="UZH262" s="169"/>
      <c r="UZI262" s="169"/>
      <c r="UZJ262" s="169"/>
      <c r="UZK262" s="169"/>
      <c r="UZL262" s="169"/>
      <c r="UZM262" s="169"/>
      <c r="UZN262" s="169"/>
      <c r="UZO262" s="169"/>
      <c r="UZP262" s="169"/>
      <c r="UZQ262" s="169"/>
      <c r="UZR262" s="169"/>
      <c r="UZS262" s="169"/>
      <c r="UZT262" s="169"/>
      <c r="UZU262" s="169"/>
      <c r="UZV262" s="169"/>
      <c r="UZW262" s="169"/>
      <c r="UZX262" s="169"/>
      <c r="UZY262" s="169"/>
      <c r="UZZ262" s="169"/>
      <c r="VAA262" s="169"/>
      <c r="VAB262" s="169"/>
      <c r="VAC262" s="169"/>
      <c r="VAD262" s="169"/>
      <c r="VAE262" s="169"/>
      <c r="VAF262" s="169"/>
      <c r="VAG262" s="169"/>
      <c r="VAH262" s="169"/>
      <c r="VAI262" s="169"/>
      <c r="VAJ262" s="169"/>
      <c r="VAK262" s="169"/>
      <c r="VAL262" s="169"/>
      <c r="VAM262" s="169"/>
      <c r="VAN262" s="169"/>
      <c r="VAO262" s="169"/>
      <c r="VAP262" s="169"/>
      <c r="VAQ262" s="169"/>
      <c r="VAR262" s="169"/>
      <c r="VAS262" s="169"/>
      <c r="VAT262" s="169"/>
      <c r="VAU262" s="169"/>
      <c r="VAV262" s="169"/>
      <c r="VAW262" s="169"/>
      <c r="VAX262" s="169"/>
      <c r="VAY262" s="169"/>
      <c r="VAZ262" s="169"/>
      <c r="VBA262" s="169"/>
      <c r="VBB262" s="169"/>
      <c r="VBC262" s="169"/>
      <c r="VBD262" s="169"/>
      <c r="VBE262" s="169"/>
      <c r="VBF262" s="169"/>
      <c r="VBG262" s="169"/>
      <c r="VBH262" s="169"/>
      <c r="VBI262" s="169"/>
      <c r="VBJ262" s="169"/>
      <c r="VBK262" s="169"/>
      <c r="VBL262" s="169"/>
      <c r="VBM262" s="169"/>
      <c r="VBN262" s="169"/>
      <c r="VBO262" s="169"/>
      <c r="VBP262" s="169"/>
      <c r="VBQ262" s="169"/>
      <c r="VBR262" s="169"/>
      <c r="VBS262" s="169"/>
      <c r="VBT262" s="169"/>
      <c r="VBU262" s="169"/>
      <c r="VBV262" s="169"/>
      <c r="VBW262" s="169"/>
      <c r="VBX262" s="169"/>
      <c r="VBY262" s="169"/>
      <c r="VBZ262" s="169"/>
      <c r="VCA262" s="169"/>
      <c r="VCB262" s="169"/>
      <c r="VCC262" s="169"/>
      <c r="VCD262" s="169"/>
      <c r="VCE262" s="169"/>
      <c r="VCF262" s="169"/>
      <c r="VCG262" s="169"/>
      <c r="VCH262" s="169"/>
      <c r="VCI262" s="169"/>
      <c r="VCJ262" s="169"/>
      <c r="VCK262" s="169"/>
      <c r="VCL262" s="169"/>
      <c r="VCM262" s="169"/>
      <c r="VCN262" s="169"/>
      <c r="VCO262" s="169"/>
      <c r="VCP262" s="169"/>
      <c r="VCQ262" s="169"/>
      <c r="VCR262" s="169"/>
      <c r="VCS262" s="169"/>
      <c r="VCT262" s="169"/>
      <c r="VCU262" s="169"/>
      <c r="VCV262" s="169"/>
      <c r="VCW262" s="169"/>
      <c r="VCX262" s="169"/>
      <c r="VCY262" s="169"/>
      <c r="VCZ262" s="169"/>
      <c r="VDA262" s="169"/>
      <c r="VDB262" s="169"/>
      <c r="VDC262" s="169"/>
      <c r="VDD262" s="169"/>
      <c r="VDE262" s="169"/>
      <c r="VDF262" s="169"/>
      <c r="VDG262" s="169"/>
      <c r="VDH262" s="169"/>
      <c r="VDI262" s="169"/>
      <c r="VDJ262" s="169"/>
      <c r="VDK262" s="169"/>
      <c r="VDL262" s="169"/>
      <c r="VDM262" s="169"/>
      <c r="VDN262" s="169"/>
      <c r="VDO262" s="169"/>
      <c r="VDP262" s="169"/>
      <c r="VDQ262" s="169"/>
      <c r="VDR262" s="169"/>
      <c r="VDS262" s="169"/>
      <c r="VDT262" s="169"/>
      <c r="VDU262" s="169"/>
      <c r="VDV262" s="169"/>
      <c r="VDW262" s="169"/>
      <c r="VDX262" s="169"/>
      <c r="VDY262" s="169"/>
      <c r="VDZ262" s="169"/>
      <c r="VEA262" s="169"/>
      <c r="VEB262" s="169"/>
      <c r="VEC262" s="169"/>
      <c r="VED262" s="169"/>
      <c r="VEE262" s="169"/>
      <c r="VEF262" s="169"/>
      <c r="VEG262" s="169"/>
      <c r="VEH262" s="169"/>
      <c r="VEI262" s="169"/>
      <c r="VEJ262" s="169"/>
      <c r="VEK262" s="169"/>
      <c r="VEL262" s="169"/>
      <c r="VEM262" s="169"/>
      <c r="VEN262" s="169"/>
      <c r="VEO262" s="169"/>
      <c r="VEP262" s="169"/>
      <c r="VEQ262" s="169"/>
      <c r="VER262" s="169"/>
      <c r="VES262" s="169"/>
      <c r="VET262" s="169"/>
      <c r="VEU262" s="169"/>
      <c r="VEV262" s="169"/>
      <c r="VEW262" s="169"/>
      <c r="VEX262" s="169"/>
      <c r="VEY262" s="169"/>
      <c r="VEZ262" s="169"/>
      <c r="VFA262" s="169"/>
      <c r="VFB262" s="169"/>
      <c r="VFC262" s="169"/>
      <c r="VFD262" s="169"/>
      <c r="VFE262" s="169"/>
      <c r="VFF262" s="169"/>
      <c r="VFG262" s="169"/>
      <c r="VFH262" s="169"/>
      <c r="VFI262" s="169"/>
      <c r="VFJ262" s="169"/>
      <c r="VFK262" s="169"/>
      <c r="VFL262" s="169"/>
      <c r="VFM262" s="169"/>
      <c r="VFN262" s="169"/>
      <c r="VFO262" s="169"/>
      <c r="VFP262" s="169"/>
      <c r="VFQ262" s="169"/>
      <c r="VFR262" s="169"/>
      <c r="VFS262" s="169"/>
      <c r="VFT262" s="169"/>
      <c r="VFU262" s="169"/>
      <c r="VFV262" s="169"/>
      <c r="VFW262" s="169"/>
      <c r="VFX262" s="169"/>
      <c r="VFY262" s="169"/>
      <c r="VFZ262" s="169"/>
      <c r="VGA262" s="169"/>
      <c r="VGB262" s="169"/>
      <c r="VGC262" s="169"/>
      <c r="VGD262" s="169"/>
      <c r="VGE262" s="169"/>
      <c r="VGF262" s="169"/>
      <c r="VGG262" s="169"/>
      <c r="VGH262" s="169"/>
      <c r="VGI262" s="169"/>
      <c r="VGJ262" s="169"/>
      <c r="VGK262" s="169"/>
      <c r="VGL262" s="169"/>
      <c r="VGM262" s="169"/>
      <c r="VGN262" s="169"/>
      <c r="VGO262" s="169"/>
      <c r="VGP262" s="169"/>
      <c r="VGQ262" s="169"/>
      <c r="VGR262" s="169"/>
      <c r="VGS262" s="169"/>
      <c r="VGT262" s="169"/>
      <c r="VGU262" s="169"/>
      <c r="VGV262" s="169"/>
      <c r="VGW262" s="169"/>
      <c r="VGX262" s="169"/>
      <c r="VGY262" s="169"/>
      <c r="VGZ262" s="169"/>
      <c r="VHA262" s="169"/>
      <c r="VHB262" s="169"/>
      <c r="VHC262" s="169"/>
      <c r="VHD262" s="169"/>
      <c r="VHE262" s="169"/>
      <c r="VHF262" s="169"/>
      <c r="VHG262" s="169"/>
      <c r="VHH262" s="169"/>
      <c r="VHI262" s="169"/>
      <c r="VHJ262" s="169"/>
      <c r="VHK262" s="169"/>
      <c r="VHL262" s="169"/>
      <c r="VHM262" s="169"/>
      <c r="VHN262" s="169"/>
      <c r="VHO262" s="169"/>
      <c r="VHP262" s="169"/>
      <c r="VHQ262" s="169"/>
      <c r="VHR262" s="169"/>
      <c r="VHS262" s="169"/>
      <c r="VHT262" s="169"/>
      <c r="VHU262" s="169"/>
      <c r="VHV262" s="169"/>
      <c r="VHW262" s="169"/>
      <c r="VHX262" s="169"/>
      <c r="VHY262" s="169"/>
      <c r="VHZ262" s="169"/>
      <c r="VIA262" s="169"/>
      <c r="VIB262" s="169"/>
      <c r="VIC262" s="169"/>
      <c r="VID262" s="169"/>
      <c r="VIE262" s="169"/>
      <c r="VIF262" s="169"/>
      <c r="VIG262" s="169"/>
      <c r="VIH262" s="169"/>
      <c r="VII262" s="169"/>
      <c r="VIJ262" s="169"/>
      <c r="VIK262" s="169"/>
      <c r="VIL262" s="169"/>
      <c r="VIM262" s="169"/>
      <c r="VIN262" s="169"/>
      <c r="VIO262" s="169"/>
      <c r="VIP262" s="169"/>
      <c r="VIQ262" s="169"/>
      <c r="VIR262" s="169"/>
      <c r="VIS262" s="169"/>
      <c r="VIT262" s="169"/>
      <c r="VIU262" s="169"/>
      <c r="VIV262" s="169"/>
      <c r="VIW262" s="169"/>
      <c r="VIX262" s="169"/>
      <c r="VIY262" s="169"/>
      <c r="VIZ262" s="169"/>
      <c r="VJA262" s="169"/>
      <c r="VJB262" s="169"/>
      <c r="VJC262" s="169"/>
      <c r="VJD262" s="169"/>
      <c r="VJE262" s="169"/>
      <c r="VJF262" s="169"/>
      <c r="VJG262" s="169"/>
      <c r="VJH262" s="169"/>
      <c r="VJI262" s="169"/>
      <c r="VJJ262" s="169"/>
      <c r="VJK262" s="169"/>
      <c r="VJL262" s="169"/>
      <c r="VJM262" s="169"/>
      <c r="VJN262" s="169"/>
      <c r="VJO262" s="169"/>
      <c r="VJP262" s="169"/>
      <c r="VJQ262" s="169"/>
      <c r="VJR262" s="169"/>
      <c r="VJS262" s="169"/>
      <c r="VJT262" s="169"/>
      <c r="VJU262" s="169"/>
      <c r="VJV262" s="169"/>
      <c r="VJW262" s="169"/>
      <c r="VJX262" s="169"/>
      <c r="VJY262" s="169"/>
      <c r="VJZ262" s="169"/>
      <c r="VKA262" s="169"/>
      <c r="VKB262" s="169"/>
      <c r="VKC262" s="169"/>
      <c r="VKD262" s="169"/>
      <c r="VKE262" s="169"/>
      <c r="VKF262" s="169"/>
      <c r="VKG262" s="169"/>
      <c r="VKH262" s="169"/>
      <c r="VKI262" s="169"/>
      <c r="VKJ262" s="169"/>
      <c r="VKK262" s="169"/>
      <c r="VKL262" s="169"/>
      <c r="VKM262" s="169"/>
      <c r="VKN262" s="169"/>
      <c r="VKO262" s="169"/>
      <c r="VKP262" s="169"/>
      <c r="VKQ262" s="169"/>
      <c r="VKR262" s="169"/>
      <c r="VKS262" s="169"/>
      <c r="VKT262" s="169"/>
      <c r="VKU262" s="169"/>
      <c r="VKV262" s="169"/>
      <c r="VKW262" s="169"/>
      <c r="VKX262" s="169"/>
      <c r="VKY262" s="169"/>
      <c r="VKZ262" s="169"/>
      <c r="VLA262" s="169"/>
      <c r="VLB262" s="169"/>
      <c r="VLC262" s="169"/>
      <c r="VLD262" s="169"/>
      <c r="VLE262" s="169"/>
      <c r="VLF262" s="169"/>
      <c r="VLG262" s="169"/>
      <c r="VLH262" s="169"/>
      <c r="VLI262" s="169"/>
      <c r="VLJ262" s="169"/>
      <c r="VLK262" s="169"/>
      <c r="VLL262" s="169"/>
      <c r="VLM262" s="169"/>
      <c r="VLN262" s="169"/>
      <c r="VLO262" s="169"/>
      <c r="VLP262" s="169"/>
      <c r="VLQ262" s="169"/>
      <c r="VLR262" s="169"/>
      <c r="VLS262" s="169"/>
      <c r="VLT262" s="169"/>
      <c r="VLU262" s="169"/>
      <c r="VLV262" s="169"/>
      <c r="VLW262" s="169"/>
      <c r="VLX262" s="169"/>
      <c r="VLY262" s="169"/>
      <c r="VLZ262" s="169"/>
      <c r="VMA262" s="169"/>
      <c r="VMB262" s="169"/>
      <c r="VMC262" s="169"/>
      <c r="VMD262" s="169"/>
      <c r="VME262" s="169"/>
      <c r="VMF262" s="169"/>
      <c r="VMG262" s="169"/>
      <c r="VMH262" s="169"/>
      <c r="VMI262" s="169"/>
      <c r="VMJ262" s="169"/>
      <c r="VMK262" s="169"/>
      <c r="VML262" s="169"/>
      <c r="VMM262" s="169"/>
      <c r="VMN262" s="169"/>
      <c r="VMO262" s="169"/>
      <c r="VMP262" s="169"/>
      <c r="VMQ262" s="169"/>
      <c r="VMR262" s="169"/>
      <c r="VMS262" s="169"/>
      <c r="VMT262" s="169"/>
      <c r="VMU262" s="169"/>
      <c r="VMV262" s="169"/>
      <c r="VMW262" s="169"/>
      <c r="VMX262" s="169"/>
      <c r="VMY262" s="169"/>
      <c r="VMZ262" s="169"/>
      <c r="VNA262" s="169"/>
      <c r="VNB262" s="169"/>
      <c r="VNC262" s="169"/>
      <c r="VND262" s="169"/>
      <c r="VNE262" s="169"/>
      <c r="VNF262" s="169"/>
      <c r="VNG262" s="169"/>
      <c r="VNH262" s="169"/>
      <c r="VNI262" s="169"/>
      <c r="VNJ262" s="169"/>
      <c r="VNK262" s="169"/>
      <c r="VNL262" s="169"/>
      <c r="VNM262" s="169"/>
      <c r="VNN262" s="169"/>
      <c r="VNO262" s="169"/>
      <c r="VNP262" s="169"/>
      <c r="VNQ262" s="169"/>
      <c r="VNR262" s="169"/>
      <c r="VNS262" s="169"/>
      <c r="VNT262" s="169"/>
      <c r="VNU262" s="169"/>
      <c r="VNV262" s="169"/>
      <c r="VNW262" s="169"/>
      <c r="VNX262" s="169"/>
      <c r="VNY262" s="169"/>
      <c r="VNZ262" s="169"/>
      <c r="VOA262" s="169"/>
      <c r="VOB262" s="169"/>
      <c r="VOC262" s="169"/>
      <c r="VOD262" s="169"/>
      <c r="VOE262" s="169"/>
      <c r="VOF262" s="169"/>
      <c r="VOG262" s="169"/>
      <c r="VOH262" s="169"/>
      <c r="VOI262" s="169"/>
      <c r="VOJ262" s="169"/>
      <c r="VOK262" s="169"/>
      <c r="VOL262" s="169"/>
      <c r="VOM262" s="169"/>
      <c r="VON262" s="169"/>
      <c r="VOO262" s="169"/>
      <c r="VOP262" s="169"/>
      <c r="VOQ262" s="169"/>
      <c r="VOR262" s="169"/>
      <c r="VOS262" s="169"/>
      <c r="VOT262" s="169"/>
      <c r="VOU262" s="169"/>
      <c r="VOV262" s="169"/>
      <c r="VOW262" s="169"/>
      <c r="VOX262" s="169"/>
      <c r="VOY262" s="169"/>
      <c r="VOZ262" s="169"/>
      <c r="VPA262" s="169"/>
      <c r="VPB262" s="169"/>
      <c r="VPC262" s="169"/>
      <c r="VPD262" s="169"/>
      <c r="VPE262" s="169"/>
      <c r="VPF262" s="169"/>
      <c r="VPG262" s="169"/>
      <c r="VPH262" s="169"/>
      <c r="VPI262" s="169"/>
      <c r="VPJ262" s="169"/>
      <c r="VPK262" s="169"/>
      <c r="VPL262" s="169"/>
      <c r="VPM262" s="169"/>
      <c r="VPN262" s="169"/>
      <c r="VPO262" s="169"/>
      <c r="VPP262" s="169"/>
      <c r="VPQ262" s="169"/>
      <c r="VPR262" s="169"/>
      <c r="VPS262" s="169"/>
      <c r="VPT262" s="169"/>
      <c r="VPU262" s="169"/>
      <c r="VPV262" s="169"/>
      <c r="VPW262" s="169"/>
      <c r="VPX262" s="169"/>
      <c r="VPY262" s="169"/>
      <c r="VPZ262" s="169"/>
      <c r="VQA262" s="169"/>
      <c r="VQB262" s="169"/>
      <c r="VQC262" s="169"/>
      <c r="VQD262" s="169"/>
      <c r="VQE262" s="169"/>
      <c r="VQF262" s="169"/>
      <c r="VQG262" s="169"/>
      <c r="VQH262" s="169"/>
      <c r="VQI262" s="169"/>
      <c r="VQJ262" s="169"/>
      <c r="VQK262" s="169"/>
      <c r="VQL262" s="169"/>
      <c r="VQM262" s="169"/>
      <c r="VQN262" s="169"/>
      <c r="VQO262" s="169"/>
      <c r="VQP262" s="169"/>
      <c r="VQQ262" s="169"/>
      <c r="VQR262" s="169"/>
      <c r="VQS262" s="169"/>
      <c r="VQT262" s="169"/>
      <c r="VQU262" s="169"/>
      <c r="VQV262" s="169"/>
      <c r="VQW262" s="169"/>
      <c r="VQX262" s="169"/>
      <c r="VQY262" s="169"/>
      <c r="VQZ262" s="169"/>
      <c r="VRA262" s="169"/>
      <c r="VRB262" s="169"/>
      <c r="VRC262" s="169"/>
      <c r="VRD262" s="169"/>
      <c r="VRE262" s="169"/>
      <c r="VRF262" s="169"/>
      <c r="VRG262" s="169"/>
      <c r="VRH262" s="169"/>
      <c r="VRI262" s="169"/>
      <c r="VRJ262" s="169"/>
      <c r="VRK262" s="169"/>
      <c r="VRL262" s="169"/>
      <c r="VRM262" s="169"/>
      <c r="VRN262" s="169"/>
      <c r="VRO262" s="169"/>
      <c r="VRP262" s="169"/>
      <c r="VRQ262" s="169"/>
      <c r="VRR262" s="169"/>
      <c r="VRS262" s="169"/>
      <c r="VRT262" s="169"/>
      <c r="VRU262" s="169"/>
      <c r="VRV262" s="169"/>
      <c r="VRW262" s="169"/>
      <c r="VRX262" s="169"/>
      <c r="VRY262" s="169"/>
      <c r="VRZ262" s="169"/>
      <c r="VSA262" s="169"/>
      <c r="VSB262" s="169"/>
      <c r="VSC262" s="169"/>
      <c r="VSD262" s="169"/>
      <c r="VSE262" s="169"/>
      <c r="VSF262" s="169"/>
      <c r="VSG262" s="169"/>
      <c r="VSH262" s="169"/>
      <c r="VSI262" s="169"/>
      <c r="VSJ262" s="169"/>
      <c r="VSK262" s="169"/>
      <c r="VSL262" s="169"/>
      <c r="VSM262" s="169"/>
      <c r="VSN262" s="169"/>
      <c r="VSO262" s="169"/>
      <c r="VSP262" s="169"/>
      <c r="VSQ262" s="169"/>
      <c r="VSR262" s="169"/>
      <c r="VSS262" s="169"/>
      <c r="VST262" s="169"/>
      <c r="VSU262" s="169"/>
      <c r="VSV262" s="169"/>
      <c r="VSW262" s="169"/>
      <c r="VSX262" s="169"/>
      <c r="VSY262" s="169"/>
      <c r="VSZ262" s="169"/>
      <c r="VTA262" s="169"/>
      <c r="VTB262" s="169"/>
      <c r="VTC262" s="169"/>
      <c r="VTD262" s="169"/>
      <c r="VTE262" s="169"/>
      <c r="VTF262" s="169"/>
      <c r="VTG262" s="169"/>
      <c r="VTH262" s="169"/>
      <c r="VTI262" s="169"/>
      <c r="VTJ262" s="169"/>
      <c r="VTK262" s="169"/>
      <c r="VTL262" s="169"/>
      <c r="VTM262" s="169"/>
      <c r="VTN262" s="169"/>
      <c r="VTO262" s="169"/>
      <c r="VTP262" s="169"/>
      <c r="VTQ262" s="169"/>
      <c r="VTR262" s="169"/>
      <c r="VTS262" s="169"/>
      <c r="VTT262" s="169"/>
      <c r="VTU262" s="169"/>
      <c r="VTV262" s="169"/>
      <c r="VTW262" s="169"/>
      <c r="VTX262" s="169"/>
      <c r="VTY262" s="169"/>
      <c r="VTZ262" s="169"/>
      <c r="VUA262" s="169"/>
      <c r="VUB262" s="169"/>
      <c r="VUC262" s="169"/>
      <c r="VUD262" s="169"/>
      <c r="VUE262" s="169"/>
      <c r="VUF262" s="169"/>
      <c r="VUG262" s="169"/>
      <c r="VUH262" s="169"/>
      <c r="VUI262" s="169"/>
      <c r="VUJ262" s="169"/>
      <c r="VUK262" s="169"/>
      <c r="VUL262" s="169"/>
      <c r="VUM262" s="169"/>
      <c r="VUN262" s="169"/>
      <c r="VUO262" s="169"/>
      <c r="VUP262" s="169"/>
      <c r="VUQ262" s="169"/>
      <c r="VUR262" s="169"/>
      <c r="VUS262" s="169"/>
      <c r="VUT262" s="169"/>
      <c r="VUU262" s="169"/>
      <c r="VUV262" s="169"/>
      <c r="VUW262" s="169"/>
      <c r="VUX262" s="169"/>
      <c r="VUY262" s="169"/>
      <c r="VUZ262" s="169"/>
      <c r="VVA262" s="169"/>
      <c r="VVB262" s="169"/>
      <c r="VVC262" s="169"/>
      <c r="VVD262" s="169"/>
      <c r="VVE262" s="169"/>
      <c r="VVF262" s="169"/>
      <c r="VVG262" s="169"/>
      <c r="VVH262" s="169"/>
      <c r="VVI262" s="169"/>
      <c r="VVJ262" s="169"/>
      <c r="VVK262" s="169"/>
      <c r="VVL262" s="169"/>
      <c r="VVM262" s="169"/>
      <c r="VVN262" s="169"/>
      <c r="VVO262" s="169"/>
      <c r="VVP262" s="169"/>
      <c r="VVQ262" s="169"/>
      <c r="VVR262" s="169"/>
      <c r="VVS262" s="169"/>
      <c r="VVT262" s="169"/>
      <c r="VVU262" s="169"/>
      <c r="VVV262" s="169"/>
      <c r="VVW262" s="169"/>
      <c r="VVX262" s="169"/>
      <c r="VVY262" s="169"/>
      <c r="VVZ262" s="169"/>
      <c r="VWA262" s="169"/>
      <c r="VWB262" s="169"/>
      <c r="VWC262" s="169"/>
      <c r="VWD262" s="169"/>
      <c r="VWE262" s="169"/>
      <c r="VWF262" s="169"/>
      <c r="VWG262" s="169"/>
      <c r="VWH262" s="169"/>
      <c r="VWI262" s="169"/>
      <c r="VWJ262" s="169"/>
      <c r="VWK262" s="169"/>
      <c r="VWL262" s="169"/>
      <c r="VWM262" s="169"/>
      <c r="VWN262" s="169"/>
      <c r="VWO262" s="169"/>
      <c r="VWP262" s="169"/>
      <c r="VWQ262" s="169"/>
      <c r="VWR262" s="169"/>
      <c r="VWS262" s="169"/>
      <c r="VWT262" s="169"/>
      <c r="VWU262" s="169"/>
      <c r="VWV262" s="169"/>
      <c r="VWW262" s="169"/>
      <c r="VWX262" s="169"/>
      <c r="VWY262" s="169"/>
      <c r="VWZ262" s="169"/>
      <c r="VXA262" s="169"/>
      <c r="VXB262" s="169"/>
      <c r="VXC262" s="169"/>
      <c r="VXD262" s="169"/>
      <c r="VXE262" s="169"/>
      <c r="VXF262" s="169"/>
      <c r="VXG262" s="169"/>
      <c r="VXH262" s="169"/>
      <c r="VXI262" s="169"/>
      <c r="VXJ262" s="169"/>
      <c r="VXK262" s="169"/>
      <c r="VXL262" s="169"/>
      <c r="VXM262" s="169"/>
      <c r="VXN262" s="169"/>
      <c r="VXO262" s="169"/>
      <c r="VXP262" s="169"/>
      <c r="VXQ262" s="169"/>
      <c r="VXR262" s="169"/>
      <c r="VXS262" s="169"/>
      <c r="VXT262" s="169"/>
      <c r="VXU262" s="169"/>
      <c r="VXV262" s="169"/>
      <c r="VXW262" s="169"/>
      <c r="VXX262" s="169"/>
      <c r="VXY262" s="169"/>
      <c r="VXZ262" s="169"/>
      <c r="VYA262" s="169"/>
      <c r="VYB262" s="169"/>
      <c r="VYC262" s="169"/>
      <c r="VYD262" s="169"/>
      <c r="VYE262" s="169"/>
      <c r="VYF262" s="169"/>
      <c r="VYG262" s="169"/>
      <c r="VYH262" s="169"/>
      <c r="VYI262" s="169"/>
      <c r="VYJ262" s="169"/>
      <c r="VYK262" s="169"/>
      <c r="VYL262" s="169"/>
      <c r="VYM262" s="169"/>
      <c r="VYN262" s="169"/>
      <c r="VYO262" s="169"/>
      <c r="VYP262" s="169"/>
      <c r="VYQ262" s="169"/>
      <c r="VYR262" s="169"/>
      <c r="VYS262" s="169"/>
      <c r="VYT262" s="169"/>
      <c r="VYU262" s="169"/>
      <c r="VYV262" s="169"/>
      <c r="VYW262" s="169"/>
      <c r="VYX262" s="169"/>
      <c r="VYY262" s="169"/>
      <c r="VYZ262" s="169"/>
      <c r="VZA262" s="169"/>
      <c r="VZB262" s="169"/>
      <c r="VZC262" s="169"/>
      <c r="VZD262" s="169"/>
      <c r="VZE262" s="169"/>
      <c r="VZF262" s="169"/>
      <c r="VZG262" s="169"/>
      <c r="VZH262" s="169"/>
      <c r="VZI262" s="169"/>
      <c r="VZJ262" s="169"/>
      <c r="VZK262" s="169"/>
      <c r="VZL262" s="169"/>
      <c r="VZM262" s="169"/>
      <c r="VZN262" s="169"/>
      <c r="VZO262" s="169"/>
      <c r="VZP262" s="169"/>
      <c r="VZQ262" s="169"/>
      <c r="VZR262" s="169"/>
      <c r="VZS262" s="169"/>
      <c r="VZT262" s="169"/>
      <c r="VZU262" s="169"/>
      <c r="VZV262" s="169"/>
      <c r="VZW262" s="169"/>
      <c r="VZX262" s="169"/>
      <c r="VZY262" s="169"/>
      <c r="VZZ262" s="169"/>
      <c r="WAA262" s="169"/>
      <c r="WAB262" s="169"/>
      <c r="WAC262" s="169"/>
      <c r="WAD262" s="169"/>
      <c r="WAE262" s="169"/>
      <c r="WAF262" s="169"/>
      <c r="WAG262" s="169"/>
      <c r="WAH262" s="169"/>
      <c r="WAI262" s="169"/>
      <c r="WAJ262" s="169"/>
      <c r="WAK262" s="169"/>
      <c r="WAL262" s="169"/>
      <c r="WAM262" s="169"/>
      <c r="WAN262" s="169"/>
      <c r="WAO262" s="169"/>
      <c r="WAP262" s="169"/>
      <c r="WAQ262" s="169"/>
      <c r="WAR262" s="169"/>
      <c r="WAS262" s="169"/>
      <c r="WAT262" s="169"/>
      <c r="WAU262" s="169"/>
      <c r="WAV262" s="169"/>
      <c r="WAW262" s="169"/>
      <c r="WAX262" s="169"/>
      <c r="WAY262" s="169"/>
      <c r="WAZ262" s="169"/>
      <c r="WBA262" s="169"/>
      <c r="WBB262" s="169"/>
      <c r="WBC262" s="169"/>
      <c r="WBD262" s="169"/>
      <c r="WBE262" s="169"/>
      <c r="WBF262" s="169"/>
      <c r="WBG262" s="169"/>
      <c r="WBH262" s="169"/>
      <c r="WBI262" s="169"/>
      <c r="WBJ262" s="169"/>
      <c r="WBK262" s="169"/>
      <c r="WBL262" s="169"/>
      <c r="WBM262" s="169"/>
      <c r="WBN262" s="169"/>
      <c r="WBO262" s="169"/>
      <c r="WBP262" s="169"/>
      <c r="WBQ262" s="169"/>
      <c r="WBR262" s="169"/>
      <c r="WBS262" s="169"/>
      <c r="WBT262" s="169"/>
      <c r="WBU262" s="169"/>
      <c r="WBV262" s="169"/>
      <c r="WBW262" s="169"/>
      <c r="WBX262" s="169"/>
      <c r="WBY262" s="169"/>
      <c r="WBZ262" s="169"/>
      <c r="WCA262" s="169"/>
      <c r="WCB262" s="169"/>
      <c r="WCC262" s="169"/>
      <c r="WCD262" s="169"/>
      <c r="WCE262" s="169"/>
      <c r="WCF262" s="169"/>
      <c r="WCG262" s="169"/>
      <c r="WCH262" s="169"/>
      <c r="WCI262" s="169"/>
      <c r="WCJ262" s="169"/>
      <c r="WCK262" s="169"/>
      <c r="WCL262" s="169"/>
      <c r="WCM262" s="169"/>
      <c r="WCN262" s="169"/>
      <c r="WCO262" s="169"/>
      <c r="WCP262" s="169"/>
      <c r="WCQ262" s="169"/>
      <c r="WCR262" s="169"/>
      <c r="WCS262" s="169"/>
      <c r="WCT262" s="169"/>
      <c r="WCU262" s="169"/>
      <c r="WCV262" s="169"/>
      <c r="WCW262" s="169"/>
      <c r="WCX262" s="169"/>
      <c r="WCY262" s="169"/>
      <c r="WCZ262" s="169"/>
      <c r="WDA262" s="169"/>
      <c r="WDB262" s="169"/>
      <c r="WDC262" s="169"/>
      <c r="WDD262" s="169"/>
      <c r="WDE262" s="169"/>
      <c r="WDF262" s="169"/>
      <c r="WDG262" s="169"/>
      <c r="WDH262" s="169"/>
      <c r="WDI262" s="169"/>
      <c r="WDJ262" s="169"/>
      <c r="WDK262" s="169"/>
      <c r="WDL262" s="169"/>
      <c r="WDM262" s="169"/>
      <c r="WDN262" s="169"/>
      <c r="WDO262" s="169"/>
      <c r="WDP262" s="169"/>
      <c r="WDQ262" s="169"/>
      <c r="WDR262" s="169"/>
      <c r="WDS262" s="169"/>
      <c r="WDT262" s="169"/>
      <c r="WDU262" s="169"/>
      <c r="WDV262" s="169"/>
      <c r="WDW262" s="169"/>
      <c r="WDX262" s="169"/>
      <c r="WDY262" s="169"/>
      <c r="WDZ262" s="169"/>
      <c r="WEA262" s="169"/>
      <c r="WEB262" s="169"/>
      <c r="WEC262" s="169"/>
      <c r="WED262" s="169"/>
      <c r="WEE262" s="169"/>
      <c r="WEF262" s="169"/>
      <c r="WEG262" s="169"/>
      <c r="WEH262" s="169"/>
      <c r="WEI262" s="169"/>
      <c r="WEJ262" s="169"/>
      <c r="WEK262" s="169"/>
      <c r="WEL262" s="169"/>
      <c r="WEM262" s="169"/>
      <c r="WEN262" s="169"/>
      <c r="WEO262" s="169"/>
      <c r="WEP262" s="169"/>
      <c r="WEQ262" s="169"/>
      <c r="WER262" s="169"/>
      <c r="WES262" s="169"/>
      <c r="WET262" s="169"/>
      <c r="WEU262" s="169"/>
      <c r="WEV262" s="169"/>
      <c r="WEW262" s="169"/>
      <c r="WEX262" s="169"/>
      <c r="WEY262" s="169"/>
      <c r="WEZ262" s="169"/>
      <c r="WFA262" s="169"/>
      <c r="WFB262" s="169"/>
      <c r="WFC262" s="169"/>
      <c r="WFD262" s="169"/>
      <c r="WFE262" s="169"/>
      <c r="WFF262" s="169"/>
      <c r="WFG262" s="169"/>
      <c r="WFH262" s="169"/>
      <c r="WFI262" s="169"/>
      <c r="WFJ262" s="169"/>
      <c r="WFK262" s="169"/>
      <c r="WFL262" s="169"/>
      <c r="WFM262" s="169"/>
      <c r="WFN262" s="169"/>
      <c r="WFO262" s="169"/>
      <c r="WFP262" s="169"/>
      <c r="WFQ262" s="169"/>
      <c r="WFR262" s="169"/>
      <c r="WFS262" s="169"/>
      <c r="WFT262" s="169"/>
      <c r="WFU262" s="169"/>
      <c r="WFV262" s="169"/>
      <c r="WFW262" s="169"/>
      <c r="WFX262" s="169"/>
      <c r="WFY262" s="169"/>
      <c r="WFZ262" s="169"/>
      <c r="WGA262" s="169"/>
      <c r="WGB262" s="169"/>
      <c r="WGC262" s="169"/>
      <c r="WGD262" s="169"/>
      <c r="WGE262" s="169"/>
      <c r="WGF262" s="169"/>
      <c r="WGG262" s="169"/>
      <c r="WGH262" s="169"/>
      <c r="WGI262" s="169"/>
      <c r="WGJ262" s="169"/>
      <c r="WGK262" s="169"/>
      <c r="WGL262" s="169"/>
      <c r="WGM262" s="169"/>
      <c r="WGN262" s="169"/>
      <c r="WGO262" s="169"/>
      <c r="WGP262" s="169"/>
      <c r="WGQ262" s="169"/>
      <c r="WGR262" s="169"/>
      <c r="WGS262" s="169"/>
      <c r="WGT262" s="169"/>
      <c r="WGU262" s="169"/>
      <c r="WGV262" s="169"/>
      <c r="WGW262" s="169"/>
      <c r="WGX262" s="169"/>
      <c r="WGY262" s="169"/>
      <c r="WGZ262" s="169"/>
      <c r="WHA262" s="169"/>
      <c r="WHB262" s="169"/>
      <c r="WHC262" s="169"/>
      <c r="WHD262" s="169"/>
      <c r="WHE262" s="169"/>
      <c r="WHF262" s="169"/>
      <c r="WHG262" s="169"/>
      <c r="WHH262" s="169"/>
      <c r="WHI262" s="169"/>
      <c r="WHJ262" s="169"/>
      <c r="WHK262" s="169"/>
      <c r="WHL262" s="169"/>
      <c r="WHM262" s="169"/>
      <c r="WHN262" s="169"/>
      <c r="WHO262" s="169"/>
      <c r="WHP262" s="169"/>
      <c r="WHQ262" s="169"/>
      <c r="WHR262" s="169"/>
      <c r="WHS262" s="169"/>
      <c r="WHT262" s="169"/>
      <c r="WHU262" s="169"/>
      <c r="WHV262" s="169"/>
      <c r="WHW262" s="169"/>
      <c r="WHX262" s="169"/>
      <c r="WHY262" s="169"/>
      <c r="WHZ262" s="169"/>
      <c r="WIA262" s="169"/>
      <c r="WIB262" s="169"/>
      <c r="WIC262" s="169"/>
      <c r="WID262" s="169"/>
      <c r="WIE262" s="169"/>
      <c r="WIF262" s="169"/>
      <c r="WIG262" s="169"/>
      <c r="WIH262" s="169"/>
      <c r="WII262" s="169"/>
      <c r="WIJ262" s="169"/>
      <c r="WIK262" s="169"/>
      <c r="WIL262" s="169"/>
      <c r="WIM262" s="169"/>
      <c r="WIN262" s="169"/>
      <c r="WIO262" s="169"/>
      <c r="WIP262" s="169"/>
      <c r="WIQ262" s="169"/>
      <c r="WIR262" s="169"/>
      <c r="WIS262" s="169"/>
      <c r="WIT262" s="169"/>
      <c r="WIU262" s="169"/>
      <c r="WIV262" s="169"/>
      <c r="WIW262" s="169"/>
      <c r="WIX262" s="169"/>
      <c r="WIY262" s="169"/>
      <c r="WIZ262" s="169"/>
      <c r="WJA262" s="169"/>
      <c r="WJB262" s="169"/>
      <c r="WJC262" s="169"/>
      <c r="WJD262" s="169"/>
      <c r="WJE262" s="169"/>
      <c r="WJF262" s="169"/>
      <c r="WJG262" s="169"/>
      <c r="WJH262" s="169"/>
      <c r="WJI262" s="169"/>
      <c r="WJJ262" s="169"/>
      <c r="WJK262" s="169"/>
      <c r="WJL262" s="169"/>
      <c r="WJM262" s="169"/>
      <c r="WJN262" s="169"/>
      <c r="WJO262" s="169"/>
      <c r="WJP262" s="169"/>
      <c r="WJQ262" s="169"/>
      <c r="WJR262" s="169"/>
      <c r="WJS262" s="169"/>
      <c r="WJT262" s="169"/>
      <c r="WJU262" s="169"/>
      <c r="WJV262" s="169"/>
      <c r="WJW262" s="169"/>
      <c r="WJX262" s="169"/>
      <c r="WJY262" s="169"/>
      <c r="WJZ262" s="169"/>
      <c r="WKA262" s="169"/>
      <c r="WKB262" s="169"/>
      <c r="WKC262" s="169"/>
      <c r="WKD262" s="169"/>
      <c r="WKE262" s="169"/>
      <c r="WKF262" s="169"/>
      <c r="WKG262" s="169"/>
      <c r="WKH262" s="169"/>
      <c r="WKI262" s="169"/>
      <c r="WKJ262" s="169"/>
      <c r="WKK262" s="169"/>
      <c r="WKL262" s="169"/>
      <c r="WKM262" s="169"/>
      <c r="WKN262" s="169"/>
      <c r="WKO262" s="169"/>
      <c r="WKP262" s="169"/>
      <c r="WKQ262" s="169"/>
      <c r="WKR262" s="169"/>
      <c r="WKS262" s="169"/>
      <c r="WKT262" s="169"/>
      <c r="WKU262" s="169"/>
      <c r="WKV262" s="169"/>
      <c r="WKW262" s="169"/>
      <c r="WKX262" s="169"/>
      <c r="WKY262" s="169"/>
      <c r="WKZ262" s="169"/>
      <c r="WLA262" s="169"/>
      <c r="WLB262" s="169"/>
      <c r="WLC262" s="169"/>
      <c r="WLD262" s="169"/>
      <c r="WLE262" s="169"/>
      <c r="WLF262" s="169"/>
      <c r="WLG262" s="169"/>
      <c r="WLH262" s="169"/>
      <c r="WLI262" s="169"/>
      <c r="WLJ262" s="169"/>
      <c r="WLK262" s="169"/>
      <c r="WLL262" s="169"/>
      <c r="WLM262" s="169"/>
      <c r="WLN262" s="169"/>
      <c r="WLO262" s="169"/>
      <c r="WLP262" s="169"/>
      <c r="WLQ262" s="169"/>
      <c r="WLR262" s="169"/>
      <c r="WLS262" s="169"/>
      <c r="WLT262" s="169"/>
      <c r="WLU262" s="169"/>
      <c r="WLV262" s="169"/>
      <c r="WLW262" s="169"/>
      <c r="WLX262" s="169"/>
      <c r="WLY262" s="169"/>
      <c r="WLZ262" s="169"/>
      <c r="WMA262" s="169"/>
      <c r="WMB262" s="169"/>
      <c r="WMC262" s="169"/>
      <c r="WMD262" s="169"/>
      <c r="WME262" s="169"/>
      <c r="WMF262" s="169"/>
      <c r="WMG262" s="169"/>
      <c r="WMH262" s="169"/>
      <c r="WMI262" s="169"/>
      <c r="WMJ262" s="169"/>
      <c r="WMK262" s="169"/>
      <c r="WML262" s="169"/>
      <c r="WMM262" s="169"/>
      <c r="WMN262" s="169"/>
      <c r="WMO262" s="169"/>
      <c r="WMP262" s="169"/>
      <c r="WMQ262" s="169"/>
      <c r="WMR262" s="169"/>
      <c r="WMS262" s="169"/>
      <c r="WMT262" s="169"/>
      <c r="WMU262" s="169"/>
      <c r="WMV262" s="169"/>
      <c r="WMW262" s="169"/>
      <c r="WMX262" s="169"/>
      <c r="WMY262" s="169"/>
      <c r="WMZ262" s="169"/>
      <c r="WNA262" s="169"/>
      <c r="WNB262" s="169"/>
      <c r="WNC262" s="169"/>
      <c r="WND262" s="169"/>
      <c r="WNE262" s="169"/>
      <c r="WNF262" s="169"/>
      <c r="WNG262" s="169"/>
      <c r="WNH262" s="169"/>
      <c r="WNI262" s="169"/>
      <c r="WNJ262" s="169"/>
      <c r="WNK262" s="169"/>
      <c r="WNL262" s="169"/>
      <c r="WNM262" s="169"/>
      <c r="WNN262" s="169"/>
      <c r="WNO262" s="169"/>
      <c r="WNP262" s="169"/>
      <c r="WNQ262" s="169"/>
      <c r="WNR262" s="169"/>
      <c r="WNS262" s="169"/>
      <c r="WNT262" s="169"/>
      <c r="WNU262" s="169"/>
      <c r="WNV262" s="169"/>
      <c r="WNW262" s="169"/>
      <c r="WNX262" s="169"/>
      <c r="WNY262" s="169"/>
      <c r="WNZ262" s="169"/>
      <c r="WOA262" s="169"/>
      <c r="WOB262" s="169"/>
      <c r="WOC262" s="169"/>
      <c r="WOD262" s="169"/>
      <c r="WOE262" s="169"/>
      <c r="WOF262" s="169"/>
      <c r="WOG262" s="169"/>
      <c r="WOH262" s="169"/>
      <c r="WOI262" s="169"/>
      <c r="WOJ262" s="169"/>
      <c r="WOK262" s="169"/>
      <c r="WOL262" s="169"/>
      <c r="WOM262" s="169"/>
      <c r="WON262" s="169"/>
      <c r="WOO262" s="169"/>
      <c r="WOP262" s="169"/>
      <c r="WOQ262" s="169"/>
      <c r="WOR262" s="169"/>
      <c r="WOS262" s="169"/>
      <c r="WOT262" s="169"/>
      <c r="WOU262" s="169"/>
      <c r="WOV262" s="169"/>
      <c r="WOW262" s="169"/>
      <c r="WOX262" s="169"/>
      <c r="WOY262" s="169"/>
      <c r="WOZ262" s="169"/>
      <c r="WPA262" s="169"/>
      <c r="WPB262" s="169"/>
      <c r="WPC262" s="169"/>
      <c r="WPD262" s="169"/>
      <c r="WPE262" s="169"/>
      <c r="WPF262" s="169"/>
      <c r="WPG262" s="169"/>
      <c r="WPH262" s="169"/>
      <c r="WPI262" s="169"/>
      <c r="WPJ262" s="169"/>
      <c r="WPK262" s="169"/>
      <c r="WPL262" s="169"/>
      <c r="WPM262" s="169"/>
      <c r="WPN262" s="169"/>
      <c r="WPO262" s="169"/>
      <c r="WPP262" s="169"/>
      <c r="WPQ262" s="169"/>
      <c r="WPR262" s="169"/>
      <c r="WPS262" s="169"/>
      <c r="WPT262" s="169"/>
      <c r="WPU262" s="169"/>
      <c r="WPV262" s="169"/>
      <c r="WPW262" s="169"/>
      <c r="WPX262" s="169"/>
      <c r="WPY262" s="169"/>
      <c r="WPZ262" s="169"/>
      <c r="WQA262" s="169"/>
      <c r="WQB262" s="169"/>
      <c r="WQC262" s="169"/>
      <c r="WQD262" s="169"/>
      <c r="WQE262" s="169"/>
      <c r="WQF262" s="169"/>
      <c r="WQG262" s="169"/>
      <c r="WQH262" s="169"/>
      <c r="WQI262" s="169"/>
      <c r="WQJ262" s="169"/>
      <c r="WQK262" s="169"/>
      <c r="WQL262" s="169"/>
      <c r="WQM262" s="169"/>
      <c r="WQN262" s="169"/>
      <c r="WQO262" s="169"/>
      <c r="WQP262" s="169"/>
      <c r="WQQ262" s="169"/>
      <c r="WQR262" s="169"/>
      <c r="WQS262" s="169"/>
      <c r="WQT262" s="169"/>
      <c r="WQU262" s="169"/>
      <c r="WQV262" s="169"/>
      <c r="WQW262" s="169"/>
      <c r="WQX262" s="169"/>
      <c r="WQY262" s="169"/>
      <c r="WQZ262" s="169"/>
      <c r="WRA262" s="169"/>
      <c r="WRB262" s="169"/>
      <c r="WRC262" s="169"/>
      <c r="WRD262" s="169"/>
      <c r="WRE262" s="169"/>
      <c r="WRF262" s="169"/>
      <c r="WRG262" s="169"/>
      <c r="WRH262" s="169"/>
      <c r="WRI262" s="169"/>
      <c r="WRJ262" s="169"/>
      <c r="WRK262" s="169"/>
      <c r="WRL262" s="169"/>
      <c r="WRM262" s="169"/>
      <c r="WRN262" s="169"/>
      <c r="WRO262" s="169"/>
      <c r="WRP262" s="169"/>
      <c r="WRQ262" s="169"/>
      <c r="WRR262" s="169"/>
      <c r="WRS262" s="169"/>
      <c r="WRT262" s="169"/>
      <c r="WRU262" s="169"/>
      <c r="WRV262" s="169"/>
      <c r="WRW262" s="169"/>
      <c r="WRX262" s="169"/>
      <c r="WRY262" s="169"/>
      <c r="WRZ262" s="169"/>
      <c r="WSA262" s="169"/>
      <c r="WSB262" s="169"/>
      <c r="WSC262" s="169"/>
      <c r="WSD262" s="169"/>
      <c r="WSE262" s="169"/>
      <c r="WSF262" s="169"/>
      <c r="WSG262" s="169"/>
      <c r="WSH262" s="169"/>
      <c r="WSI262" s="169"/>
      <c r="WSJ262" s="169"/>
      <c r="WSK262" s="169"/>
      <c r="WSL262" s="169"/>
      <c r="WSM262" s="169"/>
      <c r="WSN262" s="169"/>
      <c r="WSO262" s="169"/>
      <c r="WSP262" s="169"/>
      <c r="WSQ262" s="169"/>
      <c r="WSR262" s="169"/>
      <c r="WSS262" s="169"/>
      <c r="WST262" s="169"/>
      <c r="WSU262" s="169"/>
      <c r="WSV262" s="169"/>
      <c r="WSW262" s="169"/>
      <c r="WSX262" s="169"/>
      <c r="WSY262" s="169"/>
      <c r="WSZ262" s="169"/>
      <c r="WTA262" s="169"/>
      <c r="WTB262" s="169"/>
      <c r="WTC262" s="169"/>
      <c r="WTD262" s="169"/>
      <c r="WTE262" s="169"/>
      <c r="WTF262" s="169"/>
      <c r="WTG262" s="169"/>
      <c r="WTH262" s="169"/>
      <c r="WTI262" s="169"/>
      <c r="WTJ262" s="169"/>
      <c r="WTK262" s="169"/>
      <c r="WTL262" s="169"/>
      <c r="WTM262" s="169"/>
      <c r="WTN262" s="169"/>
      <c r="WTO262" s="169"/>
      <c r="WTP262" s="169"/>
      <c r="WTQ262" s="169"/>
      <c r="WTR262" s="169"/>
      <c r="WTS262" s="169"/>
      <c r="WTT262" s="169"/>
      <c r="WTU262" s="169"/>
      <c r="WTV262" s="169"/>
      <c r="WTW262" s="169"/>
      <c r="WTX262" s="169"/>
      <c r="WTY262" s="169"/>
      <c r="WTZ262" s="169"/>
      <c r="WUA262" s="169"/>
      <c r="WUB262" s="169"/>
      <c r="WUC262" s="169"/>
      <c r="WUD262" s="169"/>
      <c r="WUE262" s="169"/>
      <c r="WUF262" s="169"/>
      <c r="WUG262" s="169"/>
      <c r="WUH262" s="169"/>
      <c r="WUI262" s="169"/>
      <c r="WUJ262" s="169"/>
      <c r="WUK262" s="169"/>
      <c r="WUL262" s="169"/>
      <c r="WUM262" s="169"/>
      <c r="WUN262" s="169"/>
      <c r="WUO262" s="169"/>
      <c r="WUP262" s="169"/>
      <c r="WUQ262" s="169"/>
      <c r="WUR262" s="169"/>
      <c r="WUS262" s="169"/>
      <c r="WUT262" s="169"/>
      <c r="WUU262" s="169"/>
      <c r="WUV262" s="169"/>
      <c r="WUW262" s="169"/>
      <c r="WUX262" s="169"/>
      <c r="WUY262" s="169"/>
      <c r="WUZ262" s="169"/>
      <c r="WVA262" s="169"/>
      <c r="WVB262" s="169"/>
      <c r="WVC262" s="169"/>
      <c r="WVD262" s="169"/>
      <c r="WVE262" s="169"/>
      <c r="WVF262" s="169"/>
      <c r="WVG262" s="169"/>
      <c r="WVH262" s="169"/>
      <c r="WVI262" s="169"/>
      <c r="WVJ262" s="169"/>
      <c r="WVK262" s="169"/>
      <c r="WVL262" s="169"/>
      <c r="WVM262" s="169"/>
      <c r="WVN262" s="169"/>
      <c r="WVO262" s="169"/>
      <c r="WVP262" s="169"/>
      <c r="WVQ262" s="169"/>
      <c r="WVR262" s="169"/>
      <c r="WVS262" s="169"/>
      <c r="WVT262" s="169"/>
      <c r="WVU262" s="169"/>
      <c r="WVV262" s="169"/>
      <c r="WVW262" s="169"/>
      <c r="WVX262" s="169"/>
      <c r="WVY262" s="169"/>
      <c r="WVZ262" s="169"/>
      <c r="WWA262" s="169"/>
      <c r="WWB262" s="169"/>
      <c r="WWC262" s="169"/>
      <c r="WWD262" s="169"/>
      <c r="WWE262" s="169"/>
      <c r="WWF262" s="169"/>
      <c r="WWG262" s="169"/>
      <c r="WWH262" s="169"/>
      <c r="WWI262" s="169"/>
      <c r="WWJ262" s="169"/>
      <c r="WWK262" s="169"/>
      <c r="WWL262" s="169"/>
      <c r="WWM262" s="169"/>
      <c r="WWN262" s="169"/>
      <c r="WWO262" s="169"/>
      <c r="WWP262" s="169"/>
      <c r="WWQ262" s="169"/>
      <c r="WWR262" s="169"/>
      <c r="WWS262" s="169"/>
      <c r="WWT262" s="169"/>
      <c r="WWU262" s="169"/>
      <c r="WWV262" s="169"/>
      <c r="WWW262" s="169"/>
      <c r="WWX262" s="169"/>
      <c r="WWY262" s="169"/>
      <c r="WWZ262" s="169"/>
      <c r="WXA262" s="169"/>
      <c r="WXB262" s="169"/>
      <c r="WXC262" s="169"/>
      <c r="WXD262" s="169"/>
      <c r="WXE262" s="169"/>
      <c r="WXF262" s="169"/>
      <c r="WXG262" s="169"/>
      <c r="WXH262" s="169"/>
      <c r="WXI262" s="169"/>
      <c r="WXJ262" s="169"/>
      <c r="WXK262" s="169"/>
      <c r="WXL262" s="169"/>
      <c r="WXM262" s="169"/>
      <c r="WXN262" s="169"/>
      <c r="WXO262" s="169"/>
      <c r="WXP262" s="169"/>
      <c r="WXQ262" s="169"/>
      <c r="WXR262" s="169"/>
      <c r="WXS262" s="169"/>
      <c r="WXT262" s="169"/>
      <c r="WXU262" s="169"/>
      <c r="WXV262" s="169"/>
      <c r="WXW262" s="169"/>
      <c r="WXX262" s="169"/>
      <c r="WXY262" s="169"/>
      <c r="WXZ262" s="169"/>
      <c r="WYA262" s="169"/>
      <c r="WYB262" s="169"/>
      <c r="WYC262" s="169"/>
      <c r="WYD262" s="169"/>
      <c r="WYE262" s="169"/>
      <c r="WYF262" s="169"/>
      <c r="WYG262" s="169"/>
      <c r="WYH262" s="169"/>
      <c r="WYI262" s="169"/>
      <c r="WYJ262" s="169"/>
      <c r="WYK262" s="169"/>
      <c r="WYL262" s="169"/>
      <c r="WYM262" s="169"/>
      <c r="WYN262" s="169"/>
      <c r="WYO262" s="169"/>
      <c r="WYP262" s="169"/>
      <c r="WYQ262" s="169"/>
      <c r="WYR262" s="169"/>
      <c r="WYS262" s="169"/>
      <c r="WYT262" s="169"/>
      <c r="WYU262" s="169"/>
      <c r="WYV262" s="169"/>
      <c r="WYW262" s="169"/>
      <c r="WYX262" s="169"/>
      <c r="WYY262" s="169"/>
      <c r="WYZ262" s="169"/>
      <c r="WZA262" s="169"/>
      <c r="WZB262" s="169"/>
      <c r="WZC262" s="169"/>
      <c r="WZD262" s="169"/>
      <c r="WZE262" s="169"/>
      <c r="WZF262" s="169"/>
      <c r="WZG262" s="169"/>
      <c r="WZH262" s="169"/>
      <c r="WZI262" s="169"/>
      <c r="WZJ262" s="169"/>
      <c r="WZK262" s="169"/>
      <c r="WZL262" s="169"/>
      <c r="WZM262" s="169"/>
      <c r="WZN262" s="169"/>
      <c r="WZO262" s="169"/>
      <c r="WZP262" s="169"/>
      <c r="WZQ262" s="169"/>
      <c r="WZR262" s="169"/>
      <c r="WZS262" s="169"/>
      <c r="WZT262" s="169"/>
      <c r="WZU262" s="169"/>
      <c r="WZV262" s="169"/>
      <c r="WZW262" s="169"/>
      <c r="WZX262" s="169"/>
      <c r="WZY262" s="169"/>
      <c r="WZZ262" s="169"/>
      <c r="XAA262" s="169"/>
      <c r="XAB262" s="169"/>
      <c r="XAC262" s="169"/>
      <c r="XAD262" s="169"/>
      <c r="XAE262" s="169"/>
      <c r="XAF262" s="169"/>
      <c r="XAG262" s="169"/>
      <c r="XAH262" s="169"/>
      <c r="XAI262" s="169"/>
      <c r="XAJ262" s="169"/>
      <c r="XAK262" s="169"/>
      <c r="XAL262" s="169"/>
      <c r="XAM262" s="169"/>
      <c r="XAN262" s="169"/>
      <c r="XAO262" s="169"/>
      <c r="XAP262" s="169"/>
      <c r="XAQ262" s="169"/>
      <c r="XAR262" s="169"/>
      <c r="XAS262" s="169"/>
      <c r="XAT262" s="169"/>
      <c r="XAU262" s="169"/>
      <c r="XAV262" s="169"/>
      <c r="XAW262" s="169"/>
      <c r="XAX262" s="169"/>
      <c r="XAY262" s="169"/>
      <c r="XAZ262" s="169"/>
      <c r="XBA262" s="169"/>
      <c r="XBB262" s="169"/>
      <c r="XBC262" s="169"/>
      <c r="XBD262" s="169"/>
      <c r="XBE262" s="169"/>
      <c r="XBF262" s="169"/>
      <c r="XBG262" s="169"/>
      <c r="XBH262" s="169"/>
      <c r="XBI262" s="169"/>
      <c r="XBJ262" s="169"/>
      <c r="XBK262" s="169"/>
      <c r="XBL262" s="169"/>
      <c r="XBM262" s="169"/>
      <c r="XBN262" s="169"/>
      <c r="XBO262" s="169"/>
      <c r="XBP262" s="169"/>
      <c r="XBQ262" s="169"/>
      <c r="XBR262" s="169"/>
      <c r="XBS262" s="169"/>
      <c r="XBT262" s="169"/>
      <c r="XBU262" s="169"/>
      <c r="XBV262" s="169"/>
      <c r="XBW262" s="169"/>
      <c r="XBX262" s="169"/>
      <c r="XBY262" s="169"/>
      <c r="XBZ262" s="169"/>
      <c r="XCA262" s="169"/>
      <c r="XCB262" s="169"/>
      <c r="XCC262" s="169"/>
      <c r="XCD262" s="169"/>
      <c r="XCE262" s="169"/>
      <c r="XCF262" s="169"/>
      <c r="XCG262" s="169"/>
      <c r="XCH262" s="169"/>
      <c r="XCI262" s="169"/>
      <c r="XCJ262" s="169"/>
      <c r="XCK262" s="169"/>
      <c r="XCL262" s="169"/>
      <c r="XCM262" s="169"/>
      <c r="XCN262" s="169"/>
      <c r="XCO262" s="169"/>
      <c r="XCP262" s="169"/>
      <c r="XCQ262" s="169"/>
      <c r="XCR262" s="169"/>
      <c r="XCS262" s="169"/>
      <c r="XCT262" s="169"/>
      <c r="XCU262" s="169"/>
      <c r="XCV262" s="169"/>
      <c r="XCW262" s="169"/>
      <c r="XCX262" s="169"/>
      <c r="XCY262" s="169"/>
      <c r="XCZ262" s="169"/>
      <c r="XDA262" s="169"/>
      <c r="XDB262" s="169"/>
      <c r="XDC262" s="169"/>
      <c r="XDD262" s="169"/>
      <c r="XDE262" s="169"/>
      <c r="XDF262" s="169"/>
      <c r="XDG262" s="169"/>
      <c r="XDH262" s="169"/>
      <c r="XDI262" s="169"/>
      <c r="XDJ262" s="169"/>
      <c r="XDK262" s="169"/>
      <c r="XDL262" s="169"/>
      <c r="XDM262" s="169"/>
      <c r="XDN262" s="169"/>
      <c r="XDO262" s="169"/>
      <c r="XDP262" s="169"/>
      <c r="XDQ262" s="169"/>
      <c r="XDR262" s="169"/>
      <c r="XDS262" s="169"/>
      <c r="XDT262" s="169"/>
      <c r="XDU262" s="169"/>
      <c r="XDV262" s="169"/>
      <c r="XDW262" s="169"/>
      <c r="XDX262" s="169"/>
    </row>
    <row r="263" spans="1:16352" s="4" customFormat="1" ht="14.25" customHeight="1" x14ac:dyDescent="0.25">
      <c r="A263" s="168"/>
      <c r="B263" s="77"/>
      <c r="C263" s="77"/>
      <c r="D263" s="77"/>
      <c r="E263" s="77"/>
      <c r="F263" s="77"/>
      <c r="G263" s="77"/>
      <c r="H263" s="7"/>
      <c r="I263" s="7"/>
      <c r="J263" s="7"/>
      <c r="K263" s="7"/>
      <c r="L263" s="1"/>
      <c r="M263" s="230"/>
      <c r="N263" s="172"/>
      <c r="P263" s="172"/>
      <c r="Q263" s="146"/>
    </row>
    <row r="264" spans="1:16352" s="4" customFormat="1" ht="22.5" customHeight="1" x14ac:dyDescent="0.25">
      <c r="A264" s="168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145"/>
      <c r="M264" s="231"/>
      <c r="N264" s="1"/>
      <c r="O264" s="170"/>
      <c r="P264" s="60"/>
      <c r="Q264" s="147"/>
    </row>
    <row r="265" spans="1:16352" s="7" customFormat="1" ht="11.25" customHeight="1" x14ac:dyDescent="0.25">
      <c r="A265" s="171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89"/>
      <c r="N265" s="4"/>
      <c r="O265" s="172"/>
      <c r="P265" s="4"/>
      <c r="Q265" s="4"/>
    </row>
    <row r="266" spans="1:16352" s="54" customFormat="1" ht="11.25" customHeight="1" x14ac:dyDescent="0.25">
      <c r="A266" s="77"/>
      <c r="B266" s="1"/>
      <c r="C266" s="2"/>
      <c r="D266" s="2"/>
      <c r="E266" s="1"/>
      <c r="F266" s="1"/>
      <c r="G266" s="1"/>
      <c r="H266" s="60"/>
      <c r="I266" s="147"/>
      <c r="J266" s="147"/>
      <c r="K266" s="20"/>
      <c r="L266" s="20"/>
      <c r="M266" s="63"/>
      <c r="N266" s="4"/>
      <c r="O266" s="1"/>
      <c r="P266" s="4"/>
      <c r="Q266" s="4"/>
    </row>
    <row r="267" spans="1:16352" s="4" customFormat="1" ht="11.25" customHeight="1" x14ac:dyDescent="0.25">
      <c r="A267" s="77"/>
      <c r="E267" s="81"/>
      <c r="F267" s="81"/>
      <c r="G267" s="58"/>
      <c r="H267" s="1"/>
      <c r="I267" s="1"/>
      <c r="J267" s="1"/>
      <c r="K267" s="1"/>
      <c r="L267" s="1"/>
      <c r="M267" s="63"/>
    </row>
    <row r="268" spans="1:16352" s="4" customFormat="1" ht="16.5" customHeight="1" x14ac:dyDescent="0.25">
      <c r="A268" s="1"/>
      <c r="B268" s="380"/>
      <c r="C268" s="380"/>
      <c r="D268" s="380"/>
      <c r="E268" s="380"/>
      <c r="F268" s="380"/>
      <c r="G268" s="380"/>
      <c r="H268" s="58"/>
      <c r="I268" s="26"/>
      <c r="J268" s="26"/>
      <c r="K268" s="26"/>
      <c r="L268" s="58"/>
      <c r="M268" s="221"/>
    </row>
    <row r="269" spans="1:16352" s="4" customFormat="1" ht="14.25" customHeight="1" x14ac:dyDescent="0.25">
      <c r="B269" s="379"/>
      <c r="C269" s="379"/>
      <c r="D269" s="379"/>
      <c r="E269" s="379"/>
      <c r="F269" s="379"/>
      <c r="G269" s="379"/>
      <c r="H269" s="380"/>
      <c r="I269" s="380"/>
      <c r="J269" s="380"/>
      <c r="K269" s="380"/>
      <c r="L269" s="58"/>
      <c r="M269" s="221"/>
    </row>
    <row r="270" spans="1:16352" s="4" customFormat="1" ht="27.75" customHeight="1" x14ac:dyDescent="0.25">
      <c r="A270" s="380"/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M270" s="221"/>
    </row>
    <row r="271" spans="1:16352" s="4" customFormat="1" ht="6.75" customHeight="1" x14ac:dyDescent="0.25">
      <c r="A271" s="379"/>
      <c r="B271" s="398"/>
      <c r="C271" s="398"/>
      <c r="D271" s="398"/>
      <c r="H271" s="379"/>
      <c r="I271" s="379"/>
      <c r="J271" s="379"/>
      <c r="K271" s="379"/>
      <c r="M271" s="221"/>
    </row>
    <row r="272" spans="1:16352" s="4" customFormat="1" ht="14.25" customHeight="1" x14ac:dyDescent="0.25">
      <c r="A272" s="379"/>
      <c r="B272" s="398"/>
      <c r="C272" s="398"/>
      <c r="D272" s="398"/>
      <c r="H272" s="398"/>
      <c r="I272" s="398"/>
      <c r="J272" s="378"/>
      <c r="M272" s="221"/>
    </row>
    <row r="273" spans="1:13" s="4" customFormat="1" ht="28.5" customHeight="1" x14ac:dyDescent="0.25">
      <c r="A273" s="398"/>
      <c r="B273" s="136"/>
      <c r="C273" s="136"/>
      <c r="D273" s="136"/>
      <c r="H273" s="398"/>
      <c r="I273" s="398"/>
      <c r="J273" s="378"/>
      <c r="M273" s="221"/>
    </row>
    <row r="274" spans="1:13" s="4" customFormat="1" x14ac:dyDescent="0.25">
      <c r="A274" s="398"/>
      <c r="H274" s="18"/>
      <c r="I274" s="18"/>
      <c r="J274" s="18"/>
      <c r="M274" s="221"/>
    </row>
    <row r="275" spans="1:13" s="4" customFormat="1" x14ac:dyDescent="0.25">
      <c r="A275" s="18"/>
      <c r="M275" s="221"/>
    </row>
    <row r="276" spans="1:13" s="4" customFormat="1" ht="12" customHeight="1" x14ac:dyDescent="0.25">
      <c r="A276" s="18"/>
      <c r="M276" s="221"/>
    </row>
    <row r="277" spans="1:13" s="4" customFormat="1" ht="13.5" customHeight="1" x14ac:dyDescent="0.25">
      <c r="A277" s="18"/>
      <c r="M277" s="221"/>
    </row>
    <row r="278" spans="1:13" s="4" customFormat="1" ht="12" customHeight="1" x14ac:dyDescent="0.25">
      <c r="A278" s="18"/>
      <c r="M278" s="221"/>
    </row>
    <row r="279" spans="1:13" s="4" customFormat="1" ht="12" customHeight="1" x14ac:dyDescent="0.25">
      <c r="A279" s="20"/>
      <c r="M279" s="221"/>
    </row>
    <row r="280" spans="1:13" s="4" customFormat="1" ht="12" customHeight="1" x14ac:dyDescent="0.25">
      <c r="A280" s="20"/>
      <c r="M280" s="221"/>
    </row>
    <row r="281" spans="1:13" s="4" customFormat="1" ht="1.5" customHeight="1" x14ac:dyDescent="0.25">
      <c r="A281" s="20"/>
      <c r="M281" s="221"/>
    </row>
    <row r="282" spans="1:13" s="4" customFormat="1" x14ac:dyDescent="0.25">
      <c r="A282" s="20"/>
      <c r="M282" s="221"/>
    </row>
    <row r="283" spans="1:13" s="4" customFormat="1" ht="12" customHeight="1" x14ac:dyDescent="0.25">
      <c r="A283" s="178"/>
      <c r="M283" s="221"/>
    </row>
    <row r="284" spans="1:13" s="4" customFormat="1" ht="12" customHeight="1" x14ac:dyDescent="0.25">
      <c r="A284" s="20"/>
      <c r="M284" s="221"/>
    </row>
    <row r="285" spans="1:13" s="4" customFormat="1" ht="12" customHeight="1" x14ac:dyDescent="0.25">
      <c r="A285" s="20"/>
      <c r="M285" s="221"/>
    </row>
    <row r="286" spans="1:13" s="4" customFormat="1" ht="12" customHeight="1" x14ac:dyDescent="0.25">
      <c r="A286" s="20"/>
      <c r="M286" s="221"/>
    </row>
    <row r="287" spans="1:13" s="4" customFormat="1" ht="1.5" customHeight="1" x14ac:dyDescent="0.25">
      <c r="A287" s="20"/>
      <c r="M287" s="221"/>
    </row>
    <row r="288" spans="1:13" s="4" customFormat="1" ht="13.5" customHeight="1" x14ac:dyDescent="0.25">
      <c r="A288" s="20"/>
      <c r="M288" s="221"/>
    </row>
    <row r="289" spans="1:13" s="4" customFormat="1" ht="12" customHeight="1" x14ac:dyDescent="0.25">
      <c r="A289" s="178"/>
      <c r="M289" s="221"/>
    </row>
    <row r="290" spans="1:13" s="4" customFormat="1" ht="13.5" customHeight="1" x14ac:dyDescent="0.25">
      <c r="A290" s="20"/>
      <c r="M290" s="221"/>
    </row>
    <row r="291" spans="1:13" s="4" customFormat="1" ht="12" customHeight="1" x14ac:dyDescent="0.25">
      <c r="A291" s="178"/>
      <c r="M291" s="221"/>
    </row>
    <row r="292" spans="1:13" s="4" customFormat="1" ht="12" customHeight="1" x14ac:dyDescent="0.25">
      <c r="A292" s="20"/>
      <c r="M292" s="221"/>
    </row>
    <row r="293" spans="1:13" s="4" customFormat="1" ht="12" customHeight="1" x14ac:dyDescent="0.25">
      <c r="A293" s="20"/>
      <c r="M293" s="221"/>
    </row>
    <row r="294" spans="1:13" s="4" customFormat="1" ht="15" customHeight="1" x14ac:dyDescent="0.25">
      <c r="A294" s="20"/>
      <c r="M294" s="221"/>
    </row>
    <row r="295" spans="1:13" s="4" customFormat="1" x14ac:dyDescent="0.25">
      <c r="A295" s="178"/>
      <c r="M295" s="221"/>
    </row>
    <row r="296" spans="1:13" s="4" customFormat="1" ht="12" customHeight="1" x14ac:dyDescent="0.25">
      <c r="A296" s="178"/>
      <c r="M296" s="221"/>
    </row>
    <row r="297" spans="1:13" s="4" customFormat="1" ht="0.75" customHeight="1" x14ac:dyDescent="0.25">
      <c r="A297" s="20"/>
      <c r="M297" s="221"/>
    </row>
    <row r="298" spans="1:13" s="4" customFormat="1" ht="12" customHeight="1" x14ac:dyDescent="0.25">
      <c r="A298" s="20"/>
      <c r="M298" s="221"/>
    </row>
    <row r="299" spans="1:13" s="4" customFormat="1" ht="12" customHeight="1" x14ac:dyDescent="0.25">
      <c r="A299" s="20"/>
      <c r="M299" s="221"/>
    </row>
    <row r="300" spans="1:13" s="4" customFormat="1" ht="12" customHeight="1" x14ac:dyDescent="0.25">
      <c r="A300" s="20"/>
      <c r="M300" s="221"/>
    </row>
    <row r="301" spans="1:13" s="4" customFormat="1" ht="12" customHeight="1" x14ac:dyDescent="0.25">
      <c r="A301" s="20"/>
      <c r="M301" s="221"/>
    </row>
    <row r="302" spans="1:13" s="4" customFormat="1" ht="12" customHeight="1" x14ac:dyDescent="0.25">
      <c r="A302" s="20"/>
      <c r="M302" s="221"/>
    </row>
    <row r="303" spans="1:13" s="4" customFormat="1" ht="12" customHeight="1" x14ac:dyDescent="0.25">
      <c r="A303" s="20"/>
      <c r="M303" s="221"/>
    </row>
    <row r="304" spans="1:13" s="4" customFormat="1" ht="12" customHeight="1" x14ac:dyDescent="0.25">
      <c r="A304" s="20"/>
      <c r="M304" s="221"/>
    </row>
    <row r="305" spans="1:13" s="4" customFormat="1" ht="12" customHeight="1" x14ac:dyDescent="0.25">
      <c r="A305" s="20"/>
      <c r="M305" s="221"/>
    </row>
    <row r="306" spans="1:13" s="4" customFormat="1" ht="0.75" customHeight="1" x14ac:dyDescent="0.25">
      <c r="A306" s="20"/>
      <c r="M306" s="221"/>
    </row>
    <row r="307" spans="1:13" s="4" customFormat="1" ht="13.5" customHeight="1" x14ac:dyDescent="0.25">
      <c r="A307" s="20"/>
      <c r="M307" s="221"/>
    </row>
    <row r="308" spans="1:13" s="4" customFormat="1" ht="12" customHeight="1" x14ac:dyDescent="0.25">
      <c r="A308" s="178"/>
      <c r="M308" s="221"/>
    </row>
    <row r="309" spans="1:13" s="4" customFormat="1" ht="12" customHeight="1" x14ac:dyDescent="0.25">
      <c r="A309" s="20"/>
      <c r="M309" s="221"/>
    </row>
    <row r="310" spans="1:13" s="4" customFormat="1" ht="12" customHeight="1" x14ac:dyDescent="0.25">
      <c r="A310" s="20"/>
      <c r="M310" s="221"/>
    </row>
    <row r="311" spans="1:13" s="4" customFormat="1" ht="1.5" customHeight="1" x14ac:dyDescent="0.25">
      <c r="A311" s="20"/>
      <c r="M311" s="221"/>
    </row>
    <row r="312" spans="1:13" s="4" customFormat="1" x14ac:dyDescent="0.25">
      <c r="A312" s="20"/>
      <c r="M312" s="221"/>
    </row>
    <row r="313" spans="1:13" s="4" customFormat="1" ht="12" customHeight="1" x14ac:dyDescent="0.25">
      <c r="A313" s="178"/>
      <c r="M313" s="221"/>
    </row>
    <row r="314" spans="1:13" s="4" customFormat="1" ht="15.75" customHeight="1" x14ac:dyDescent="0.25">
      <c r="A314" s="20"/>
      <c r="M314" s="221"/>
    </row>
    <row r="315" spans="1:13" s="4" customFormat="1" x14ac:dyDescent="0.25">
      <c r="A315" s="167"/>
      <c r="M315" s="221"/>
    </row>
    <row r="316" spans="1:13" s="4" customFormat="1" x14ac:dyDescent="0.25">
      <c r="A316" s="20"/>
      <c r="M316" s="221"/>
    </row>
    <row r="317" spans="1:13" s="4" customFormat="1" ht="12" customHeight="1" x14ac:dyDescent="0.25">
      <c r="A317" s="18"/>
      <c r="M317" s="221"/>
    </row>
    <row r="318" spans="1:13" s="4" customFormat="1" ht="12" customHeight="1" x14ac:dyDescent="0.25">
      <c r="A318" s="20"/>
      <c r="M318" s="221"/>
    </row>
    <row r="319" spans="1:13" s="4" customFormat="1" ht="12" customHeight="1" x14ac:dyDescent="0.25">
      <c r="A319" s="20"/>
      <c r="M319" s="221"/>
    </row>
    <row r="320" spans="1:13" s="4" customFormat="1" ht="12" customHeight="1" x14ac:dyDescent="0.25">
      <c r="A320" s="20"/>
      <c r="M320" s="221"/>
    </row>
    <row r="321" spans="1:17" s="4" customFormat="1" ht="12" customHeight="1" x14ac:dyDescent="0.25">
      <c r="A321" s="20"/>
      <c r="M321" s="221"/>
    </row>
    <row r="322" spans="1:17" s="4" customFormat="1" ht="12" customHeight="1" x14ac:dyDescent="0.25">
      <c r="A322" s="20"/>
      <c r="M322" s="221"/>
    </row>
    <row r="323" spans="1:17" s="4" customFormat="1" ht="15.75" customHeight="1" x14ac:dyDescent="0.25">
      <c r="A323" s="105"/>
      <c r="M323" s="221"/>
    </row>
    <row r="324" spans="1:17" s="4" customFormat="1" ht="14.25" customHeight="1" x14ac:dyDescent="0.25">
      <c r="A324" s="18"/>
      <c r="M324" s="221"/>
    </row>
    <row r="325" spans="1:17" s="4" customFormat="1" ht="12" customHeight="1" x14ac:dyDescent="0.25">
      <c r="A325" s="20"/>
      <c r="M325" s="89"/>
    </row>
    <row r="326" spans="1:17" s="4" customFormat="1" ht="15" customHeight="1" x14ac:dyDescent="0.25">
      <c r="A326" s="20"/>
      <c r="B326" s="81"/>
      <c r="C326" s="81"/>
      <c r="D326" s="7"/>
      <c r="E326" s="7"/>
      <c r="F326" s="7"/>
      <c r="G326" s="7"/>
      <c r="M326" s="89"/>
    </row>
    <row r="327" spans="1:17" s="4" customFormat="1" ht="3.75" customHeight="1" x14ac:dyDescent="0.25">
      <c r="A327" s="167"/>
      <c r="B327" s="169"/>
      <c r="C327" s="169"/>
      <c r="D327" s="169"/>
      <c r="E327" s="169"/>
      <c r="F327" s="169"/>
      <c r="G327" s="169"/>
      <c r="H327" s="7"/>
      <c r="I327" s="7"/>
      <c r="J327" s="7"/>
      <c r="K327" s="7"/>
      <c r="L327" s="1"/>
      <c r="M327" s="233"/>
      <c r="N327" s="170"/>
      <c r="P327" s="170"/>
      <c r="Q327" s="170"/>
    </row>
    <row r="328" spans="1:17" s="4" customFormat="1" ht="15" customHeight="1" x14ac:dyDescent="0.25">
      <c r="A328" s="7"/>
      <c r="B328" s="81"/>
      <c r="C328" s="81"/>
      <c r="D328" s="7"/>
      <c r="E328" s="7"/>
      <c r="F328" s="7"/>
      <c r="G328" s="7"/>
      <c r="H328" s="169"/>
      <c r="I328" s="169"/>
      <c r="J328" s="169"/>
      <c r="K328" s="169"/>
      <c r="L328" s="1"/>
      <c r="M328" s="230"/>
      <c r="N328" s="172"/>
      <c r="P328" s="172"/>
      <c r="Q328" s="146"/>
    </row>
    <row r="329" spans="1:17" s="4" customFormat="1" ht="12.75" customHeight="1" x14ac:dyDescent="0.25">
      <c r="A329" s="168"/>
      <c r="B329" s="77"/>
      <c r="C329" s="77"/>
      <c r="D329" s="77"/>
      <c r="E329" s="77"/>
      <c r="F329" s="77"/>
      <c r="G329" s="77"/>
      <c r="H329" s="7"/>
      <c r="I329" s="7"/>
      <c r="J329" s="7"/>
      <c r="K329" s="7"/>
      <c r="L329" s="145"/>
      <c r="M329" s="231"/>
      <c r="N329" s="1"/>
      <c r="O329" s="170"/>
      <c r="P329" s="60"/>
      <c r="Q329" s="147"/>
    </row>
    <row r="330" spans="1:17" s="7" customFormat="1" ht="11.25" customHeight="1" x14ac:dyDescent="0.25">
      <c r="A330" s="168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221"/>
      <c r="N330" s="4"/>
      <c r="O330" s="172"/>
      <c r="P330" s="4"/>
      <c r="Q330" s="4"/>
    </row>
    <row r="331" spans="1:17" s="54" customFormat="1" ht="11.25" customHeight="1" x14ac:dyDescent="0.25">
      <c r="A331" s="171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20"/>
      <c r="M331" s="221"/>
      <c r="N331" s="4"/>
      <c r="O331" s="1"/>
      <c r="P331" s="4"/>
      <c r="Q331" s="4"/>
    </row>
    <row r="332" spans="1:17" s="4" customFormat="1" ht="15" customHeight="1" x14ac:dyDescent="0.25">
      <c r="A332" s="77"/>
      <c r="H332" s="60"/>
      <c r="I332" s="147"/>
      <c r="J332" s="147"/>
      <c r="K332" s="20"/>
      <c r="M332" s="221"/>
    </row>
    <row r="333" spans="1:17" s="4" customFormat="1" x14ac:dyDescent="0.25">
      <c r="A333" s="77"/>
      <c r="M333" s="221"/>
    </row>
    <row r="334" spans="1:17" s="4" customFormat="1" x14ac:dyDescent="0.25">
      <c r="M334" s="221"/>
    </row>
    <row r="335" spans="1:17" s="4" customFormat="1" x14ac:dyDescent="0.25">
      <c r="M335" s="221"/>
    </row>
    <row r="336" spans="1:17" s="4" customFormat="1" x14ac:dyDescent="0.25">
      <c r="M336" s="221"/>
    </row>
    <row r="337" spans="13:13" s="4" customFormat="1" x14ac:dyDescent="0.25">
      <c r="M337" s="221"/>
    </row>
    <row r="338" spans="13:13" s="4" customFormat="1" x14ac:dyDescent="0.25">
      <c r="M338" s="221"/>
    </row>
    <row r="339" spans="13:13" s="4" customFormat="1" x14ac:dyDescent="0.25">
      <c r="M339" s="221"/>
    </row>
    <row r="340" spans="13:13" s="4" customFormat="1" x14ac:dyDescent="0.25">
      <c r="M340" s="221"/>
    </row>
    <row r="341" spans="13:13" s="4" customFormat="1" x14ac:dyDescent="0.25">
      <c r="M341" s="221"/>
    </row>
    <row r="342" spans="13:13" s="4" customFormat="1" x14ac:dyDescent="0.25">
      <c r="M342" s="221"/>
    </row>
    <row r="343" spans="13:13" s="4" customFormat="1" x14ac:dyDescent="0.25">
      <c r="M343" s="221"/>
    </row>
    <row r="344" spans="13:13" s="4" customFormat="1" x14ac:dyDescent="0.25">
      <c r="M344" s="221"/>
    </row>
    <row r="345" spans="13:13" s="4" customFormat="1" x14ac:dyDescent="0.25">
      <c r="M345" s="221"/>
    </row>
    <row r="346" spans="13:13" s="4" customFormat="1" x14ac:dyDescent="0.25">
      <c r="M346" s="221"/>
    </row>
    <row r="347" spans="13:13" s="4" customFormat="1" x14ac:dyDescent="0.25">
      <c r="M347" s="221"/>
    </row>
    <row r="348" spans="13:13" s="4" customFormat="1" x14ac:dyDescent="0.25">
      <c r="M348" s="221"/>
    </row>
    <row r="349" spans="13:13" s="4" customFormat="1" x14ac:dyDescent="0.25">
      <c r="M349" s="221"/>
    </row>
    <row r="350" spans="13:13" s="4" customFormat="1" x14ac:dyDescent="0.25">
      <c r="M350" s="221"/>
    </row>
    <row r="351" spans="13:13" s="4" customFormat="1" x14ac:dyDescent="0.25">
      <c r="M351" s="221"/>
    </row>
    <row r="352" spans="13:13" s="4" customFormat="1" x14ac:dyDescent="0.25">
      <c r="M352" s="221"/>
    </row>
    <row r="353" spans="13:13" s="4" customFormat="1" x14ac:dyDescent="0.25">
      <c r="M353" s="221"/>
    </row>
    <row r="354" spans="13:13" s="4" customFormat="1" x14ac:dyDescent="0.25">
      <c r="M354" s="221"/>
    </row>
    <row r="355" spans="13:13" s="4" customFormat="1" x14ac:dyDescent="0.25">
      <c r="M355" s="221"/>
    </row>
    <row r="356" spans="13:13" s="4" customFormat="1" x14ac:dyDescent="0.25">
      <c r="M356" s="221"/>
    </row>
    <row r="357" spans="13:13" s="4" customFormat="1" x14ac:dyDescent="0.25">
      <c r="M357" s="221"/>
    </row>
    <row r="358" spans="13:13" s="4" customFormat="1" x14ac:dyDescent="0.25">
      <c r="M358" s="221"/>
    </row>
    <row r="359" spans="13:13" s="4" customFormat="1" x14ac:dyDescent="0.25">
      <c r="M359" s="221"/>
    </row>
    <row r="360" spans="13:13" s="4" customFormat="1" x14ac:dyDescent="0.25">
      <c r="M360" s="221"/>
    </row>
    <row r="361" spans="13:13" s="4" customFormat="1" x14ac:dyDescent="0.25">
      <c r="M361" s="221"/>
    </row>
    <row r="362" spans="13:13" s="4" customFormat="1" x14ac:dyDescent="0.25">
      <c r="M362" s="221"/>
    </row>
    <row r="363" spans="13:13" s="4" customFormat="1" x14ac:dyDescent="0.25">
      <c r="M363" s="221"/>
    </row>
    <row r="364" spans="13:13" s="4" customFormat="1" x14ac:dyDescent="0.25">
      <c r="M364" s="221"/>
    </row>
    <row r="365" spans="13:13" s="4" customFormat="1" x14ac:dyDescent="0.25">
      <c r="M365" s="221"/>
    </row>
    <row r="366" spans="13:13" s="4" customFormat="1" x14ac:dyDescent="0.25">
      <c r="M366" s="221"/>
    </row>
    <row r="367" spans="13:13" s="4" customFormat="1" x14ac:dyDescent="0.25">
      <c r="M367" s="221"/>
    </row>
    <row r="368" spans="13:13" s="4" customFormat="1" x14ac:dyDescent="0.25">
      <c r="M368" s="221"/>
    </row>
    <row r="369" spans="13:13" s="4" customFormat="1" x14ac:dyDescent="0.25">
      <c r="M369" s="221"/>
    </row>
    <row r="370" spans="13:13" s="4" customFormat="1" x14ac:dyDescent="0.25">
      <c r="M370" s="221"/>
    </row>
    <row r="371" spans="13:13" s="4" customFormat="1" x14ac:dyDescent="0.25">
      <c r="M371" s="221"/>
    </row>
    <row r="372" spans="13:13" s="4" customFormat="1" x14ac:dyDescent="0.25">
      <c r="M372" s="221"/>
    </row>
    <row r="373" spans="13:13" s="4" customFormat="1" x14ac:dyDescent="0.25">
      <c r="M373" s="221"/>
    </row>
    <row r="374" spans="13:13" s="4" customFormat="1" x14ac:dyDescent="0.25">
      <c r="M374" s="221"/>
    </row>
    <row r="375" spans="13:13" s="4" customFormat="1" x14ac:dyDescent="0.25">
      <c r="M375" s="221"/>
    </row>
    <row r="376" spans="13:13" s="4" customFormat="1" x14ac:dyDescent="0.25">
      <c r="M376" s="221"/>
    </row>
    <row r="377" spans="13:13" s="4" customFormat="1" x14ac:dyDescent="0.25">
      <c r="M377" s="221"/>
    </row>
    <row r="378" spans="13:13" s="4" customFormat="1" x14ac:dyDescent="0.25">
      <c r="M378" s="221"/>
    </row>
    <row r="379" spans="13:13" s="4" customFormat="1" x14ac:dyDescent="0.25">
      <c r="M379" s="221"/>
    </row>
    <row r="380" spans="13:13" s="4" customFormat="1" x14ac:dyDescent="0.25">
      <c r="M380" s="221"/>
    </row>
    <row r="381" spans="13:13" s="4" customFormat="1" x14ac:dyDescent="0.25">
      <c r="M381" s="221"/>
    </row>
    <row r="382" spans="13:13" s="4" customFormat="1" x14ac:dyDescent="0.25">
      <c r="M382" s="221"/>
    </row>
    <row r="383" spans="13:13" s="4" customFormat="1" x14ac:dyDescent="0.25">
      <c r="M383" s="221"/>
    </row>
    <row r="384" spans="13:13" s="4" customFormat="1" x14ac:dyDescent="0.25">
      <c r="M384" s="221"/>
    </row>
    <row r="385" spans="1:17" s="4" customFormat="1" x14ac:dyDescent="0.25">
      <c r="M385" s="221"/>
    </row>
    <row r="386" spans="1:17" s="4" customFormat="1" x14ac:dyDescent="0.25">
      <c r="M386" s="221"/>
    </row>
    <row r="387" spans="1:17" x14ac:dyDescent="0.25">
      <c r="A387" s="4"/>
      <c r="B387" s="4"/>
      <c r="C387" s="4"/>
      <c r="D387" s="4"/>
      <c r="E387" s="4"/>
      <c r="F387" s="4"/>
      <c r="G387" s="4"/>
      <c r="H387" s="4"/>
      <c r="I387" s="4"/>
      <c r="K387" s="4"/>
      <c r="L387" s="4"/>
      <c r="N387" s="4"/>
      <c r="O387" s="4"/>
      <c r="P387" s="4"/>
      <c r="Q387" s="4"/>
    </row>
    <row r="388" spans="1:17" x14ac:dyDescent="0.25">
      <c r="A388" s="4"/>
      <c r="B388" s="4"/>
      <c r="C388" s="4"/>
      <c r="D388" s="4"/>
      <c r="E388" s="4"/>
      <c r="F388" s="4"/>
      <c r="G388" s="4"/>
      <c r="H388" s="4"/>
      <c r="I388" s="4"/>
      <c r="K388" s="4"/>
      <c r="L388" s="4"/>
      <c r="N388" s="4"/>
      <c r="O388" s="4"/>
      <c r="P388" s="4"/>
      <c r="Q388" s="4"/>
    </row>
    <row r="389" spans="1:17" x14ac:dyDescent="0.25">
      <c r="A389" s="4"/>
      <c r="B389" s="4"/>
      <c r="C389" s="4"/>
      <c r="D389" s="4"/>
      <c r="E389" s="4"/>
      <c r="F389" s="4"/>
      <c r="G389" s="4"/>
      <c r="H389" s="4"/>
      <c r="I389" s="4"/>
      <c r="K389" s="4"/>
      <c r="L389" s="4"/>
      <c r="N389" s="4"/>
      <c r="O389" s="4"/>
      <c r="P389" s="4"/>
      <c r="Q389" s="4"/>
    </row>
    <row r="390" spans="1:17" x14ac:dyDescent="0.25">
      <c r="A390" s="4"/>
      <c r="B390" s="4"/>
      <c r="C390" s="4"/>
      <c r="D390" s="4"/>
      <c r="E390" s="4"/>
      <c r="F390" s="4"/>
      <c r="G390" s="4"/>
      <c r="H390" s="4"/>
      <c r="I390" s="4"/>
      <c r="K390" s="4"/>
      <c r="L390" s="4"/>
      <c r="N390" s="4"/>
      <c r="O390" s="4"/>
      <c r="P390" s="4"/>
      <c r="Q390" s="4"/>
    </row>
    <row r="391" spans="1:17" x14ac:dyDescent="0.25">
      <c r="A391" s="4"/>
      <c r="B391" s="4"/>
      <c r="C391" s="4"/>
      <c r="D391" s="4"/>
      <c r="E391" s="4"/>
      <c r="F391" s="4"/>
      <c r="G391" s="4"/>
      <c r="H391" s="4"/>
      <c r="I391" s="4"/>
      <c r="K391" s="4"/>
      <c r="L391" s="4"/>
      <c r="N391" s="4"/>
      <c r="O391" s="4"/>
      <c r="P391" s="4"/>
    </row>
    <row r="392" spans="1:17" x14ac:dyDescent="0.25">
      <c r="A392" s="4"/>
      <c r="B392" s="4"/>
      <c r="C392" s="4"/>
      <c r="D392" s="4"/>
      <c r="E392" s="4"/>
      <c r="F392" s="4"/>
      <c r="G392" s="4"/>
      <c r="H392" s="4"/>
      <c r="I392" s="4"/>
      <c r="K392" s="4"/>
      <c r="L392" s="4"/>
      <c r="N392" s="4"/>
      <c r="O392" s="4"/>
      <c r="P392" s="4"/>
    </row>
  </sheetData>
  <mergeCells count="30">
    <mergeCell ref="B142:C142"/>
    <mergeCell ref="A79:A80"/>
    <mergeCell ref="E79:G79"/>
    <mergeCell ref="M142:N142"/>
    <mergeCell ref="A140:N140"/>
    <mergeCell ref="A141:N141"/>
    <mergeCell ref="A139:N139"/>
    <mergeCell ref="I142:K142"/>
    <mergeCell ref="A142:A143"/>
    <mergeCell ref="E142:G142"/>
    <mergeCell ref="A273:A274"/>
    <mergeCell ref="B271:B272"/>
    <mergeCell ref="C271:C272"/>
    <mergeCell ref="I272:I273"/>
    <mergeCell ref="H272:H273"/>
    <mergeCell ref="D271:D272"/>
    <mergeCell ref="A3:Q3"/>
    <mergeCell ref="A2:Q2"/>
    <mergeCell ref="P4:Q4"/>
    <mergeCell ref="M4:N4"/>
    <mergeCell ref="A4:A5"/>
    <mergeCell ref="B4:C4"/>
    <mergeCell ref="E4:G4"/>
    <mergeCell ref="I4:K4"/>
    <mergeCell ref="A77:Q77"/>
    <mergeCell ref="A76:Q76"/>
    <mergeCell ref="I79:K79"/>
    <mergeCell ref="M79:N79"/>
    <mergeCell ref="B79:C79"/>
    <mergeCell ref="P79:Q79"/>
  </mergeCells>
  <pageMargins left="0.23622047244094491" right="0.17" top="0.28999999999999998" bottom="0.31496062992125984" header="0.17" footer="0.19685039370078741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DC390"/>
  <sheetViews>
    <sheetView showGridLines="0" tabSelected="1" topLeftCell="A266" zoomScaleNormal="100" workbookViewId="0">
      <selection activeCell="L279" sqref="L279"/>
    </sheetView>
  </sheetViews>
  <sheetFormatPr baseColWidth="10" defaultColWidth="11.42578125" defaultRowHeight="15" x14ac:dyDescent="0.25"/>
  <cols>
    <col min="1" max="1" width="20.42578125" customWidth="1"/>
    <col min="2" max="2" width="11.28515625" customWidth="1"/>
    <col min="3" max="3" width="8.28515625" customWidth="1"/>
    <col min="4" max="4" width="2.140625" customWidth="1"/>
    <col min="5" max="5" width="12" customWidth="1"/>
    <col min="6" max="6" width="8" customWidth="1"/>
    <col min="7" max="7" width="2" customWidth="1"/>
    <col min="8" max="8" width="8.140625" customWidth="1"/>
    <col min="9" max="9" width="9.7109375" customWidth="1"/>
    <col min="10" max="10" width="2.5703125" customWidth="1"/>
    <col min="11" max="11" width="10" style="221" customWidth="1"/>
    <col min="12" max="12" width="8.7109375" customWidth="1"/>
    <col min="13" max="13" width="2" customWidth="1"/>
    <col min="14" max="14" width="12.5703125" customWidth="1"/>
    <col min="15" max="15" width="8.7109375" customWidth="1"/>
    <col min="16" max="16" width="3.28515625" customWidth="1"/>
    <col min="17" max="17" width="11.5703125" customWidth="1"/>
    <col min="18" max="18" width="10.28515625" customWidth="1"/>
    <col min="19" max="20" width="16.7109375" bestFit="1" customWidth="1"/>
    <col min="21" max="21" width="13.5703125" customWidth="1"/>
    <col min="22" max="22" width="13" customWidth="1"/>
    <col min="23" max="23" width="14" customWidth="1"/>
    <col min="24" max="24" width="14.85546875" customWidth="1"/>
    <col min="25" max="25" width="13" bestFit="1" customWidth="1"/>
    <col min="29" max="29" width="12" bestFit="1" customWidth="1"/>
    <col min="30" max="30" width="14.5703125" bestFit="1" customWidth="1"/>
    <col min="32" max="32" width="12.140625" bestFit="1" customWidth="1"/>
    <col min="33" max="34" width="12" bestFit="1" customWidth="1"/>
    <col min="37" max="37" width="12" bestFit="1" customWidth="1"/>
  </cols>
  <sheetData>
    <row r="1" spans="1:16" ht="11.25" customHeight="1" x14ac:dyDescent="0.25">
      <c r="A1" s="1"/>
      <c r="B1" s="1"/>
      <c r="C1" s="2"/>
      <c r="D1" s="2"/>
      <c r="E1" s="1"/>
      <c r="F1" s="1"/>
      <c r="G1" s="1"/>
      <c r="H1" s="1"/>
      <c r="I1" s="4"/>
      <c r="J1" s="4"/>
      <c r="L1" s="4"/>
      <c r="M1" s="4"/>
      <c r="N1" s="4"/>
      <c r="O1" s="201"/>
      <c r="P1" s="201"/>
    </row>
    <row r="2" spans="1:16" ht="12" customHeight="1" x14ac:dyDescent="0.25">
      <c r="A2" s="395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80"/>
    </row>
    <row r="3" spans="1:16" ht="29.25" customHeight="1" x14ac:dyDescent="0.25">
      <c r="A3" s="394" t="s">
        <v>129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79"/>
    </row>
    <row r="4" spans="1:16" ht="15.75" customHeight="1" thickBot="1" x14ac:dyDescent="0.3">
      <c r="A4" s="400" t="s">
        <v>3</v>
      </c>
      <c r="B4" s="399">
        <v>2002</v>
      </c>
      <c r="C4" s="399"/>
      <c r="D4" s="381"/>
      <c r="E4" s="399">
        <v>2003</v>
      </c>
      <c r="F4" s="399"/>
      <c r="G4" s="381"/>
      <c r="H4" s="399">
        <v>2004</v>
      </c>
      <c r="I4" s="399"/>
      <c r="J4" s="323"/>
      <c r="K4" s="399">
        <v>2005</v>
      </c>
      <c r="L4" s="399"/>
      <c r="M4" s="323"/>
      <c r="N4" s="399">
        <v>2006</v>
      </c>
      <c r="O4" s="399"/>
      <c r="P4" s="381"/>
    </row>
    <row r="5" spans="1:16" ht="35.25" customHeight="1" x14ac:dyDescent="0.25">
      <c r="A5" s="400"/>
      <c r="B5" s="324" t="s">
        <v>93</v>
      </c>
      <c r="C5" s="325" t="s">
        <v>94</v>
      </c>
      <c r="D5" s="325"/>
      <c r="E5" s="324" t="s">
        <v>93</v>
      </c>
      <c r="F5" s="325" t="s">
        <v>94</v>
      </c>
      <c r="G5" s="325"/>
      <c r="H5" s="324" t="s">
        <v>93</v>
      </c>
      <c r="I5" s="325" t="s">
        <v>94</v>
      </c>
      <c r="J5" s="323"/>
      <c r="K5" s="326" t="s">
        <v>93</v>
      </c>
      <c r="L5" s="325" t="s">
        <v>94</v>
      </c>
      <c r="M5" s="323"/>
      <c r="N5" s="324" t="s">
        <v>93</v>
      </c>
      <c r="O5" s="325" t="s">
        <v>94</v>
      </c>
      <c r="P5" s="325"/>
    </row>
    <row r="6" spans="1:16" ht="20.25" customHeight="1" x14ac:dyDescent="0.25">
      <c r="A6" s="313" t="s">
        <v>6</v>
      </c>
      <c r="B6" s="316">
        <f>B7+B56+B65</f>
        <v>35396.143000000004</v>
      </c>
      <c r="C6" s="316"/>
      <c r="D6" s="316"/>
      <c r="E6" s="316">
        <f>E7+E56+E65</f>
        <v>45464.406999999999</v>
      </c>
      <c r="F6" s="316"/>
      <c r="G6" s="315"/>
      <c r="H6" s="314">
        <f>H7+H56+H65</f>
        <v>73907.1728</v>
      </c>
      <c r="I6" s="313"/>
      <c r="J6" s="315"/>
      <c r="K6" s="317">
        <f>K7+K56+K65</f>
        <v>83203.697999999989</v>
      </c>
      <c r="L6" s="315"/>
      <c r="M6" s="315"/>
      <c r="N6" s="314">
        <f>N7+N56+N65</f>
        <v>93360.352999999988</v>
      </c>
      <c r="O6" s="315"/>
      <c r="P6" s="315"/>
    </row>
    <row r="7" spans="1:16" ht="15.75" customHeight="1" x14ac:dyDescent="0.25">
      <c r="A7" s="259" t="s">
        <v>7</v>
      </c>
      <c r="B7" s="240">
        <f>B8+B11+B17+B20+B22+B26+B37+B46+B52</f>
        <v>17730.55</v>
      </c>
      <c r="C7" s="97">
        <f>C8+C11+C17+C20+C22+C26+C37+C46+C52</f>
        <v>100</v>
      </c>
      <c r="D7" s="22"/>
      <c r="E7" s="240">
        <f>E8+E11+E17+E20+E22+E26+E37+E46+E52</f>
        <v>23213.257999999998</v>
      </c>
      <c r="F7" s="97">
        <f>F8+F11+F17+F20+F22+F26+F37+F46+F52</f>
        <v>100</v>
      </c>
      <c r="G7" s="22"/>
      <c r="H7" s="240">
        <f>H8+H11+H17+H20+H22+H26+H37+H46+H52</f>
        <v>34522.4228</v>
      </c>
      <c r="I7" s="97">
        <f>I8+I11+I17+I20+I22+I26+I37+I46+I52</f>
        <v>99.999999999999986</v>
      </c>
      <c r="J7" s="173"/>
      <c r="K7" s="240">
        <f>K8+K11+K17+K20+K22+K26+K37+K46+K52</f>
        <v>36873.659</v>
      </c>
      <c r="L7" s="97">
        <f>L8+L11+L17+L20+L22+L26+L37+L46+L52</f>
        <v>99.999999999999986</v>
      </c>
      <c r="M7" s="278"/>
      <c r="N7" s="240">
        <f>N8+N11+N17+N20+N22+N26+N37+N46+N52</f>
        <v>43881.867999999995</v>
      </c>
      <c r="O7" s="97">
        <f>O8+O11+O17+O20+O22+O26+O37+O46+O52</f>
        <v>100.00000000000001</v>
      </c>
      <c r="P7" s="97"/>
    </row>
    <row r="8" spans="1:16" ht="15" customHeight="1" x14ac:dyDescent="0.25">
      <c r="A8" s="18" t="s">
        <v>8</v>
      </c>
      <c r="B8" s="181">
        <f>B10+B9</f>
        <v>3420.6840000000002</v>
      </c>
      <c r="C8" s="26">
        <f>B8/B7*100</f>
        <v>19.292599496349521</v>
      </c>
      <c r="D8" s="26"/>
      <c r="E8" s="181">
        <f>E10+E9</f>
        <v>4113.0749999999998</v>
      </c>
      <c r="F8" s="26">
        <f>E8/E7*100</f>
        <v>17.718645956547764</v>
      </c>
      <c r="G8" s="26"/>
      <c r="H8" s="181">
        <f>H10+H9</f>
        <v>8173.0159999999996</v>
      </c>
      <c r="I8" s="26">
        <f>H8/H7*100</f>
        <v>23.674514524513615</v>
      </c>
      <c r="J8" s="173"/>
      <c r="K8" s="181">
        <f>K10+K9</f>
        <v>9475.5959999999995</v>
      </c>
      <c r="L8" s="26">
        <f>K8/K7*100</f>
        <v>25.697466042087115</v>
      </c>
      <c r="M8" s="278"/>
      <c r="N8" s="240">
        <f>+N9+N10</f>
        <v>10158.550999999999</v>
      </c>
      <c r="O8" s="25">
        <f>N8/N7*100</f>
        <v>23.149768829348837</v>
      </c>
      <c r="P8" s="25"/>
    </row>
    <row r="9" spans="1:16" ht="14.25" customHeight="1" x14ac:dyDescent="0.25">
      <c r="A9" s="20" t="s">
        <v>9</v>
      </c>
      <c r="B9" s="63">
        <v>3298.2190000000001</v>
      </c>
      <c r="C9" s="58">
        <f>B9/B7*100</f>
        <v>18.601898982265077</v>
      </c>
      <c r="D9" s="58"/>
      <c r="E9" s="63">
        <v>3865.569</v>
      </c>
      <c r="F9" s="58">
        <f t="shared" ref="F9:F15" si="0">E9/$E$7*100</f>
        <v>16.652419061555257</v>
      </c>
      <c r="G9" s="58"/>
      <c r="H9" s="63">
        <v>7816.6719999999996</v>
      </c>
      <c r="I9" s="58">
        <f t="shared" ref="I9:I15" si="1">H9/$H$7*100</f>
        <v>22.642304235958779</v>
      </c>
      <c r="J9" s="173"/>
      <c r="K9" s="111">
        <v>9137.7610000000004</v>
      </c>
      <c r="L9" s="58">
        <f t="shared" ref="L9:L15" si="2">K9/$K$7*100</f>
        <v>24.781270011744699</v>
      </c>
      <c r="M9" s="278"/>
      <c r="N9" s="111">
        <f>9821160/1000</f>
        <v>9821.16</v>
      </c>
      <c r="O9" s="32">
        <f t="shared" ref="O9:O15" si="3">N9/$N$7*100</f>
        <v>22.38090684744779</v>
      </c>
      <c r="P9" s="32"/>
    </row>
    <row r="10" spans="1:16" ht="14.25" customHeight="1" x14ac:dyDescent="0.25">
      <c r="A10" s="20" t="s">
        <v>10</v>
      </c>
      <c r="B10" s="63">
        <v>122.465</v>
      </c>
      <c r="C10" s="58">
        <f>B10/B7*100</f>
        <v>0.69070051408444744</v>
      </c>
      <c r="D10" s="58"/>
      <c r="E10" s="63">
        <v>247.506</v>
      </c>
      <c r="F10" s="58">
        <f t="shared" si="0"/>
        <v>1.0662268949925082</v>
      </c>
      <c r="G10" s="58"/>
      <c r="H10" s="63">
        <v>356.34399999999999</v>
      </c>
      <c r="I10" s="58">
        <f t="shared" si="1"/>
        <v>1.0322102885548345</v>
      </c>
      <c r="J10" s="173"/>
      <c r="K10" s="63">
        <v>337.83499999999998</v>
      </c>
      <c r="L10" s="58">
        <f t="shared" si="2"/>
        <v>0.9161960303424187</v>
      </c>
      <c r="M10" s="278"/>
      <c r="N10" s="111">
        <f>337391/1000</f>
        <v>337.39100000000002</v>
      </c>
      <c r="O10" s="32">
        <f t="shared" si="3"/>
        <v>0.76886198190104404</v>
      </c>
      <c r="P10" s="32"/>
    </row>
    <row r="11" spans="1:16" ht="25.5" customHeight="1" x14ac:dyDescent="0.25">
      <c r="A11" s="104" t="s">
        <v>11</v>
      </c>
      <c r="B11" s="181">
        <f>B12+B13+B14+B15</f>
        <v>4350.8829999999998</v>
      </c>
      <c r="C11" s="59">
        <f>B11/B7*100</f>
        <v>24.538906012503841</v>
      </c>
      <c r="D11" s="59"/>
      <c r="E11" s="181">
        <f>E12+E13+E14+E15</f>
        <v>5853.2259999999997</v>
      </c>
      <c r="F11" s="59">
        <f t="shared" si="0"/>
        <v>25.215012903402013</v>
      </c>
      <c r="G11" s="59"/>
      <c r="H11" s="181">
        <f>H12+H13+H14+H15</f>
        <v>7542.2959999999994</v>
      </c>
      <c r="I11" s="59">
        <f t="shared" si="1"/>
        <v>21.847528036184062</v>
      </c>
      <c r="J11" s="173"/>
      <c r="K11" s="181">
        <f>K12+K13+K14+K15</f>
        <v>8222.7560000000012</v>
      </c>
      <c r="L11" s="59">
        <f t="shared" si="2"/>
        <v>22.299810279202291</v>
      </c>
      <c r="M11" s="278"/>
      <c r="N11" s="181">
        <f>N12+N13+N14+N15</f>
        <v>10402.276</v>
      </c>
      <c r="O11" s="38">
        <f t="shared" si="3"/>
        <v>23.705180463147105</v>
      </c>
      <c r="P11" s="38"/>
    </row>
    <row r="12" spans="1:16" ht="14.25" customHeight="1" x14ac:dyDescent="0.25">
      <c r="A12" s="20" t="s">
        <v>12</v>
      </c>
      <c r="B12" s="63">
        <v>1954.6189999999999</v>
      </c>
      <c r="C12" s="58">
        <f>B12/$B$7*100</f>
        <v>11.024017867466041</v>
      </c>
      <c r="D12" s="58"/>
      <c r="E12" s="63">
        <v>2509.6120000000001</v>
      </c>
      <c r="F12" s="58">
        <f t="shared" si="0"/>
        <v>10.81111492406624</v>
      </c>
      <c r="G12" s="58"/>
      <c r="H12" s="63">
        <v>3494.7060000000001</v>
      </c>
      <c r="I12" s="58">
        <f t="shared" si="1"/>
        <v>10.123003302074153</v>
      </c>
      <c r="J12" s="173"/>
      <c r="K12" s="111">
        <v>3713.1559999999999</v>
      </c>
      <c r="L12" s="58">
        <f t="shared" si="2"/>
        <v>10.069941797747818</v>
      </c>
      <c r="M12" s="278"/>
      <c r="N12" s="260">
        <f>4713124/1000</f>
        <v>4713.1239999999998</v>
      </c>
      <c r="O12" s="32">
        <f t="shared" si="3"/>
        <v>10.740481695081897</v>
      </c>
      <c r="P12" s="32"/>
    </row>
    <row r="13" spans="1:16" ht="14.25" customHeight="1" x14ac:dyDescent="0.25">
      <c r="A13" s="20" t="s">
        <v>13</v>
      </c>
      <c r="B13" s="63">
        <v>267.86700000000002</v>
      </c>
      <c r="C13" s="58">
        <f t="shared" ref="C13:C15" si="4">B13/$B$7*100</f>
        <v>1.5107653174887414</v>
      </c>
      <c r="D13" s="58"/>
      <c r="E13" s="63">
        <v>350.7</v>
      </c>
      <c r="F13" s="58">
        <f t="shared" si="0"/>
        <v>1.5107745754602824</v>
      </c>
      <c r="G13" s="58"/>
      <c r="H13" s="63">
        <v>378.37700000000001</v>
      </c>
      <c r="I13" s="58">
        <f t="shared" si="1"/>
        <v>1.0960325762535994</v>
      </c>
      <c r="J13" s="173"/>
      <c r="K13" s="63">
        <v>576.32600000000002</v>
      </c>
      <c r="L13" s="58">
        <f t="shared" si="2"/>
        <v>1.5629748054024148</v>
      </c>
      <c r="M13" s="278"/>
      <c r="N13" s="260">
        <f>739625/1000</f>
        <v>739.625</v>
      </c>
      <c r="O13" s="32">
        <f t="shared" si="3"/>
        <v>1.6854911463659663</v>
      </c>
      <c r="P13" s="32"/>
    </row>
    <row r="14" spans="1:16" ht="14.25" customHeight="1" x14ac:dyDescent="0.25">
      <c r="A14" s="20" t="s">
        <v>14</v>
      </c>
      <c r="B14" s="63">
        <v>1217.1969999999999</v>
      </c>
      <c r="C14" s="58">
        <f t="shared" si="4"/>
        <v>6.8649703477895496</v>
      </c>
      <c r="D14" s="58"/>
      <c r="E14" s="63">
        <v>1543.124</v>
      </c>
      <c r="F14" s="58">
        <f t="shared" si="0"/>
        <v>6.6475976788781654</v>
      </c>
      <c r="G14" s="58"/>
      <c r="H14" s="63">
        <v>2372.3609999999999</v>
      </c>
      <c r="I14" s="58">
        <f t="shared" si="1"/>
        <v>6.8719423713216319</v>
      </c>
      <c r="J14" s="173"/>
      <c r="K14" s="63">
        <v>3098.6550000000002</v>
      </c>
      <c r="L14" s="58">
        <f t="shared" si="2"/>
        <v>8.4034378036635857</v>
      </c>
      <c r="M14" s="278"/>
      <c r="N14" s="260">
        <f>3517211/1000</f>
        <v>3517.2109999999998</v>
      </c>
      <c r="O14" s="32">
        <f t="shared" si="3"/>
        <v>8.0151806664201271</v>
      </c>
      <c r="P14" s="32"/>
    </row>
    <row r="15" spans="1:16" ht="14.25" customHeight="1" x14ac:dyDescent="0.25">
      <c r="A15" s="20" t="s">
        <v>15</v>
      </c>
      <c r="B15" s="63">
        <v>911.2</v>
      </c>
      <c r="C15" s="58">
        <f t="shared" si="4"/>
        <v>5.1391524797595114</v>
      </c>
      <c r="D15" s="58"/>
      <c r="E15" s="63">
        <v>1449.79</v>
      </c>
      <c r="F15" s="58">
        <f t="shared" si="0"/>
        <v>6.2455257249973268</v>
      </c>
      <c r="G15" s="58"/>
      <c r="H15" s="63">
        <v>1296.8520000000001</v>
      </c>
      <c r="I15" s="58">
        <f t="shared" si="1"/>
        <v>3.7565497865346811</v>
      </c>
      <c r="J15" s="173"/>
      <c r="K15" s="63">
        <v>834.61900000000003</v>
      </c>
      <c r="L15" s="58">
        <f t="shared" si="2"/>
        <v>2.2634558723884712</v>
      </c>
      <c r="M15" s="278"/>
      <c r="N15" s="260">
        <f>1432316/1000</f>
        <v>1432.316</v>
      </c>
      <c r="O15" s="32">
        <f t="shared" si="3"/>
        <v>3.2640269552791148</v>
      </c>
      <c r="P15" s="32"/>
    </row>
    <row r="16" spans="1:16" ht="14.25" customHeight="1" x14ac:dyDescent="0.25">
      <c r="A16" s="20"/>
      <c r="B16" s="63"/>
      <c r="C16" s="58"/>
      <c r="D16" s="58"/>
      <c r="E16" s="63"/>
      <c r="F16" s="58"/>
      <c r="G16" s="58"/>
      <c r="H16" s="115"/>
      <c r="I16" s="58"/>
      <c r="J16" s="173"/>
      <c r="K16" s="63"/>
      <c r="L16" s="58"/>
      <c r="M16" s="278"/>
      <c r="N16" s="240"/>
      <c r="O16" s="32"/>
      <c r="P16" s="32"/>
    </row>
    <row r="17" spans="1:16" ht="14.25" customHeight="1" x14ac:dyDescent="0.25">
      <c r="A17" s="18" t="s">
        <v>16</v>
      </c>
      <c r="B17" s="226">
        <f>B18+B19</f>
        <v>33.734000000000002</v>
      </c>
      <c r="C17" s="59">
        <f>B17/B7*100</f>
        <v>0.19025918541726006</v>
      </c>
      <c r="D17" s="59"/>
      <c r="E17" s="226">
        <f>E18+E19</f>
        <v>33.94</v>
      </c>
      <c r="F17" s="59">
        <f>E17/E7*100</f>
        <v>0.14620954973231245</v>
      </c>
      <c r="G17" s="59"/>
      <c r="H17" s="226">
        <f>H18+H19</f>
        <v>72.86099999999999</v>
      </c>
      <c r="I17" s="59">
        <f>H17/H7*100</f>
        <v>0.21105413262014736</v>
      </c>
      <c r="J17" s="173"/>
      <c r="K17" s="226">
        <f>K18+K19</f>
        <v>41.35</v>
      </c>
      <c r="L17" s="59">
        <f>K17/K7*100</f>
        <v>0.11213967130302963</v>
      </c>
      <c r="M17" s="278"/>
      <c r="N17" s="240">
        <f>N18</f>
        <v>62.042000000000002</v>
      </c>
      <c r="O17" s="25">
        <f>N17/N7*100</f>
        <v>0.14138413615391215</v>
      </c>
      <c r="P17" s="25"/>
    </row>
    <row r="18" spans="1:16" ht="14.25" customHeight="1" x14ac:dyDescent="0.25">
      <c r="A18" s="20" t="s">
        <v>17</v>
      </c>
      <c r="B18" s="63">
        <v>33.386000000000003</v>
      </c>
      <c r="C18" s="58">
        <f>B18/B7*100</f>
        <v>0.18829647134465657</v>
      </c>
      <c r="D18" s="58"/>
      <c r="E18" s="63">
        <v>33.527999999999999</v>
      </c>
      <c r="F18" s="58">
        <f>E18/$E$7*100</f>
        <v>0.14443470192766567</v>
      </c>
      <c r="G18" s="58"/>
      <c r="H18" s="63">
        <v>72.459999999999994</v>
      </c>
      <c r="I18" s="58">
        <f>H18/$H$7*100</f>
        <v>0.20989256872203069</v>
      </c>
      <c r="J18" s="173"/>
      <c r="K18" s="63">
        <v>40.945</v>
      </c>
      <c r="L18" s="58">
        <f>K18/K7*100</f>
        <v>0.1110413262757569</v>
      </c>
      <c r="M18" s="278"/>
      <c r="N18" s="260">
        <f>62042/1000</f>
        <v>62.042000000000002</v>
      </c>
      <c r="O18" s="32">
        <f>N18/N7*100</f>
        <v>0.14138413615391215</v>
      </c>
      <c r="P18" s="32"/>
    </row>
    <row r="19" spans="1:16" ht="14.25" customHeight="1" x14ac:dyDescent="0.25">
      <c r="A19" s="20" t="s">
        <v>18</v>
      </c>
      <c r="B19" s="63">
        <v>0.34799999999999998</v>
      </c>
      <c r="C19" s="58">
        <f>B19/B7*100</f>
        <v>1.9627140726035004E-3</v>
      </c>
      <c r="D19" s="58"/>
      <c r="E19" s="63">
        <v>0.41199999999999998</v>
      </c>
      <c r="F19" s="58">
        <f>E19/$E$7*100</f>
        <v>1.7748478046468101E-3</v>
      </c>
      <c r="G19" s="58"/>
      <c r="H19" s="63">
        <v>0.40100000000000002</v>
      </c>
      <c r="I19" s="58">
        <f>H19/$H$7*100</f>
        <v>1.1615638981166757E-3</v>
      </c>
      <c r="J19" s="173"/>
      <c r="K19" s="63">
        <v>0.40500000000000003</v>
      </c>
      <c r="L19" s="58">
        <f>K19/K7*100</f>
        <v>1.0983450272727207E-3</v>
      </c>
      <c r="M19" s="278"/>
      <c r="N19" s="50" t="s">
        <v>72</v>
      </c>
      <c r="O19" s="115" t="s">
        <v>72</v>
      </c>
      <c r="P19" s="115"/>
    </row>
    <row r="20" spans="1:16" ht="14.25" customHeight="1" x14ac:dyDescent="0.25">
      <c r="A20" s="18" t="s">
        <v>19</v>
      </c>
      <c r="B20" s="82">
        <f>B21</f>
        <v>1.9430000000000001</v>
      </c>
      <c r="C20" s="59">
        <f>B20/B7*100</f>
        <v>1.0958486905369547E-2</v>
      </c>
      <c r="D20" s="59"/>
      <c r="E20" s="82">
        <f>E21</f>
        <v>2.677</v>
      </c>
      <c r="F20" s="59">
        <f>E20/E7*100</f>
        <v>1.1532202847183278E-2</v>
      </c>
      <c r="G20" s="59"/>
      <c r="H20" s="82">
        <f>H21</f>
        <v>1.9430000000000001</v>
      </c>
      <c r="I20" s="59">
        <f>H20/H7*100</f>
        <v>5.628226069926935E-3</v>
      </c>
      <c r="J20" s="173"/>
      <c r="K20" s="82">
        <f>K21</f>
        <v>1.214</v>
      </c>
      <c r="L20" s="59">
        <v>3.2923231187878591E-3</v>
      </c>
      <c r="M20" s="278"/>
      <c r="N20" s="269">
        <v>0</v>
      </c>
      <c r="O20" s="165">
        <v>0</v>
      </c>
      <c r="P20" s="165"/>
    </row>
    <row r="21" spans="1:16" ht="14.25" customHeight="1" x14ac:dyDescent="0.25">
      <c r="A21" s="20" t="s">
        <v>20</v>
      </c>
      <c r="B21" s="63">
        <v>1.9430000000000001</v>
      </c>
      <c r="C21" s="58">
        <f>B21/B7*100</f>
        <v>1.0958486905369547E-2</v>
      </c>
      <c r="D21" s="58"/>
      <c r="E21" s="63">
        <v>2.677</v>
      </c>
      <c r="F21" s="58">
        <f>E21/E7*100</f>
        <v>1.1532202847183278E-2</v>
      </c>
      <c r="G21" s="58"/>
      <c r="H21" s="63">
        <v>1.9430000000000001</v>
      </c>
      <c r="I21" s="58">
        <f>H21/H7*100</f>
        <v>5.628226069926935E-3</v>
      </c>
      <c r="J21" s="173"/>
      <c r="K21" s="63">
        <v>1.214</v>
      </c>
      <c r="L21" s="58">
        <v>3.2923231187878591E-3</v>
      </c>
      <c r="M21" s="278"/>
      <c r="N21" s="50" t="s">
        <v>72</v>
      </c>
      <c r="O21" s="156" t="s">
        <v>72</v>
      </c>
      <c r="P21" s="156"/>
    </row>
    <row r="22" spans="1:16" ht="14.25" customHeight="1" x14ac:dyDescent="0.25">
      <c r="A22" s="18" t="s">
        <v>21</v>
      </c>
      <c r="B22" s="82">
        <f>B23+B24+B25</f>
        <v>890.51400000000001</v>
      </c>
      <c r="C22" s="59">
        <f>B22/B7*100</f>
        <v>5.0224837920989485</v>
      </c>
      <c r="D22" s="59"/>
      <c r="E22" s="82">
        <f>E23+E24+E25</f>
        <v>1054.088</v>
      </c>
      <c r="F22" s="59">
        <f>E22/E7*100</f>
        <v>4.5408877978265698</v>
      </c>
      <c r="G22" s="59"/>
      <c r="H22" s="82">
        <f>H23+H24+H25</f>
        <v>1490.761</v>
      </c>
      <c r="I22" s="59">
        <f>H22/H7*100</f>
        <v>4.3182397963100083</v>
      </c>
      <c r="J22" s="173"/>
      <c r="K22" s="82">
        <f>K23+K24+K25</f>
        <v>1326.9250000000002</v>
      </c>
      <c r="L22" s="59">
        <f>K22/K7*100</f>
        <v>3.5985715439848271</v>
      </c>
      <c r="M22" s="278"/>
      <c r="N22" s="82">
        <f>N23+N24+N25</f>
        <v>2020.9859999999999</v>
      </c>
      <c r="O22" s="38">
        <f>N22/N7*100</f>
        <v>4.6055149703289757</v>
      </c>
      <c r="P22" s="38"/>
    </row>
    <row r="23" spans="1:16" ht="14.25" customHeight="1" x14ac:dyDescent="0.25">
      <c r="A23" s="20" t="s">
        <v>22</v>
      </c>
      <c r="B23" s="63">
        <v>517.99599999999998</v>
      </c>
      <c r="C23" s="58">
        <f>B23/$B$7*100</f>
        <v>2.9214886171043766</v>
      </c>
      <c r="D23" s="58"/>
      <c r="E23" s="63">
        <v>572.47400000000005</v>
      </c>
      <c r="F23" s="58">
        <f t="shared" ref="F23:F35" si="5">E23/$E$7*100</f>
        <v>2.4661510245567428</v>
      </c>
      <c r="G23" s="58"/>
      <c r="H23" s="63">
        <v>906.44600000000003</v>
      </c>
      <c r="I23" s="58">
        <f t="shared" ref="I23:I35" si="6">H23/$H$7*100</f>
        <v>2.6256731900056565</v>
      </c>
      <c r="J23" s="173"/>
      <c r="K23" s="63">
        <v>752.58600000000001</v>
      </c>
      <c r="L23" s="58">
        <f t="shared" ref="L23:L35" si="7">K23/$K$7*100</f>
        <v>2.0409854091236239</v>
      </c>
      <c r="M23" s="278"/>
      <c r="N23" s="50">
        <f>1156797/1000</f>
        <v>1156.797</v>
      </c>
      <c r="O23" s="32">
        <f t="shared" ref="O23:O50" si="8">N23/$N$7*100</f>
        <v>2.6361617057870013</v>
      </c>
      <c r="P23" s="32"/>
    </row>
    <row r="24" spans="1:16" ht="14.25" customHeight="1" x14ac:dyDescent="0.25">
      <c r="A24" s="20" t="s">
        <v>23</v>
      </c>
      <c r="B24" s="63">
        <v>290.15899999999999</v>
      </c>
      <c r="C24" s="58">
        <f t="shared" ref="C24:C35" si="9">B24/$B$7*100</f>
        <v>1.6364918177947103</v>
      </c>
      <c r="D24" s="58"/>
      <c r="E24" s="63">
        <v>332.56400000000002</v>
      </c>
      <c r="F24" s="58">
        <f t="shared" si="5"/>
        <v>1.4326468089916549</v>
      </c>
      <c r="G24" s="58"/>
      <c r="H24" s="63">
        <v>374.154</v>
      </c>
      <c r="I24" s="58">
        <f t="shared" si="6"/>
        <v>1.0837999469724355</v>
      </c>
      <c r="J24" s="173"/>
      <c r="K24" s="63">
        <v>372.56400000000002</v>
      </c>
      <c r="L24" s="58">
        <f t="shared" si="7"/>
        <v>1.0103797944218122</v>
      </c>
      <c r="M24" s="278"/>
      <c r="N24" s="50">
        <f>556886/1000</f>
        <v>556.88599999999997</v>
      </c>
      <c r="O24" s="32">
        <f t="shared" si="8"/>
        <v>1.2690571878116037</v>
      </c>
      <c r="P24" s="32"/>
    </row>
    <row r="25" spans="1:16" ht="14.25" customHeight="1" x14ac:dyDescent="0.25">
      <c r="A25" s="20" t="s">
        <v>24</v>
      </c>
      <c r="B25" s="63">
        <v>82.358999999999995</v>
      </c>
      <c r="C25" s="58">
        <f t="shared" si="9"/>
        <v>0.46450335719986124</v>
      </c>
      <c r="D25" s="58"/>
      <c r="E25" s="63">
        <v>149.05000000000001</v>
      </c>
      <c r="F25" s="58">
        <f t="shared" si="5"/>
        <v>0.64208996427817255</v>
      </c>
      <c r="G25" s="58"/>
      <c r="H25" s="63">
        <v>210.161</v>
      </c>
      <c r="I25" s="58">
        <f t="shared" si="6"/>
        <v>0.60876665933191687</v>
      </c>
      <c r="J25" s="173"/>
      <c r="K25" s="63">
        <v>201.77500000000001</v>
      </c>
      <c r="L25" s="58">
        <f t="shared" si="7"/>
        <v>0.54720634043939065</v>
      </c>
      <c r="M25" s="278"/>
      <c r="N25" s="50">
        <f>307303/1000</f>
        <v>307.303</v>
      </c>
      <c r="O25" s="32">
        <f t="shared" si="8"/>
        <v>0.70029607673037086</v>
      </c>
      <c r="P25" s="32"/>
    </row>
    <row r="26" spans="1:16" ht="14.25" customHeight="1" x14ac:dyDescent="0.25">
      <c r="A26" s="104" t="s">
        <v>25</v>
      </c>
      <c r="B26" s="181">
        <f>B28+B29+B30+B31+B32+B33+B34+B35</f>
        <v>2274.634</v>
      </c>
      <c r="C26" s="59">
        <f t="shared" si="9"/>
        <v>12.828897016731011</v>
      </c>
      <c r="D26" s="59"/>
      <c r="E26" s="181">
        <f>E28+E29+E30+E31+E32+E33+E34+E35</f>
        <v>2910.4530000000004</v>
      </c>
      <c r="F26" s="59">
        <f t="shared" si="5"/>
        <v>12.537891062081851</v>
      </c>
      <c r="G26" s="59"/>
      <c r="H26" s="181">
        <f>H28+H29+H30+H31+H32+H33+H34+H35</f>
        <v>4378.7717999999995</v>
      </c>
      <c r="I26" s="59">
        <f t="shared" si="6"/>
        <v>12.683848481225365</v>
      </c>
      <c r="J26" s="279"/>
      <c r="K26" s="181">
        <f>K28+K29+K30+K31+K32+K33+K34+K35</f>
        <v>3875.8619999999996</v>
      </c>
      <c r="L26" s="59">
        <f t="shared" si="7"/>
        <v>10.5111944545563</v>
      </c>
      <c r="M26" s="280"/>
      <c r="N26" s="181">
        <f>N28+N29+N30+N31+N32+N33+N34+N35</f>
        <v>4125.8019999999997</v>
      </c>
      <c r="O26" s="38">
        <f t="shared" si="8"/>
        <v>9.402065563845186</v>
      </c>
      <c r="P26" s="38"/>
    </row>
    <row r="27" spans="1:16" ht="14.25" customHeight="1" x14ac:dyDescent="0.25">
      <c r="A27" s="20"/>
      <c r="B27" s="63"/>
      <c r="C27" s="59">
        <f t="shared" si="9"/>
        <v>0</v>
      </c>
      <c r="D27" s="58"/>
      <c r="E27" s="63"/>
      <c r="F27" s="59">
        <f t="shared" si="5"/>
        <v>0</v>
      </c>
      <c r="G27" s="58"/>
      <c r="H27" s="115"/>
      <c r="I27" s="59">
        <f t="shared" si="6"/>
        <v>0</v>
      </c>
      <c r="J27" s="173"/>
      <c r="K27" s="63">
        <v>0</v>
      </c>
      <c r="L27" s="59">
        <f t="shared" si="7"/>
        <v>0</v>
      </c>
      <c r="M27" s="278"/>
      <c r="N27" s="115">
        <v>656940</v>
      </c>
      <c r="O27" s="32">
        <f t="shared" si="8"/>
        <v>1497.0648013434616</v>
      </c>
      <c r="P27" s="32"/>
    </row>
    <row r="28" spans="1:16" ht="14.25" customHeight="1" x14ac:dyDescent="0.25">
      <c r="A28" s="20" t="s">
        <v>26</v>
      </c>
      <c r="B28" s="63">
        <v>342.06599999999997</v>
      </c>
      <c r="C28" s="107">
        <f>B28/$B$7*100</f>
        <v>1.9292464136758305</v>
      </c>
      <c r="D28" s="58"/>
      <c r="E28" s="63">
        <v>445.13400000000001</v>
      </c>
      <c r="F28" s="107">
        <f t="shared" si="5"/>
        <v>1.9175852006642069</v>
      </c>
      <c r="G28" s="58"/>
      <c r="H28" s="63">
        <v>577.06799999999998</v>
      </c>
      <c r="I28" s="107">
        <f t="shared" si="6"/>
        <v>1.6715744527640741</v>
      </c>
      <c r="J28" s="173"/>
      <c r="K28" s="63">
        <v>690.11699999999996</v>
      </c>
      <c r="L28" s="107">
        <f t="shared" si="7"/>
        <v>1.8715717905836249</v>
      </c>
      <c r="M28" s="278"/>
      <c r="N28" s="260">
        <f>656940/1000</f>
        <v>656.94</v>
      </c>
      <c r="O28" s="32">
        <f t="shared" si="8"/>
        <v>1.4970648013434618</v>
      </c>
      <c r="P28" s="32"/>
    </row>
    <row r="29" spans="1:16" ht="14.25" customHeight="1" x14ac:dyDescent="0.25">
      <c r="A29" s="20" t="s">
        <v>27</v>
      </c>
      <c r="B29" s="63">
        <v>115.443</v>
      </c>
      <c r="C29" s="107">
        <f t="shared" si="9"/>
        <v>0.6510965536884078</v>
      </c>
      <c r="D29" s="58"/>
      <c r="E29" s="63">
        <v>134.52799999999999</v>
      </c>
      <c r="F29" s="107">
        <f t="shared" si="5"/>
        <v>0.57953088704739331</v>
      </c>
      <c r="G29" s="58"/>
      <c r="H29" s="63">
        <v>237.923</v>
      </c>
      <c r="I29" s="107">
        <f t="shared" si="6"/>
        <v>0.68918395843295222</v>
      </c>
      <c r="J29" s="173"/>
      <c r="K29" s="63">
        <v>302.029</v>
      </c>
      <c r="L29" s="107">
        <f t="shared" si="7"/>
        <v>0.81909148207938898</v>
      </c>
      <c r="M29" s="278"/>
      <c r="N29" s="260">
        <f>246048/1000</f>
        <v>246.048</v>
      </c>
      <c r="O29" s="32">
        <f t="shared" si="8"/>
        <v>0.56070539203116887</v>
      </c>
      <c r="P29" s="32"/>
    </row>
    <row r="30" spans="1:16" ht="14.25" customHeight="1" x14ac:dyDescent="0.25">
      <c r="A30" s="20" t="s">
        <v>28</v>
      </c>
      <c r="B30" s="63">
        <v>457.51</v>
      </c>
      <c r="C30" s="107">
        <f t="shared" si="9"/>
        <v>2.5803486073472057</v>
      </c>
      <c r="D30" s="58"/>
      <c r="E30" s="63">
        <v>496.20299999999997</v>
      </c>
      <c r="F30" s="107">
        <f t="shared" si="5"/>
        <v>2.1375844786630123</v>
      </c>
      <c r="G30" s="58"/>
      <c r="H30" s="63">
        <v>937.65499999999997</v>
      </c>
      <c r="I30" s="107">
        <f t="shared" si="6"/>
        <v>2.7160753039615746</v>
      </c>
      <c r="J30" s="173"/>
      <c r="K30" s="63">
        <v>1307.4469999999999</v>
      </c>
      <c r="L30" s="107">
        <f t="shared" si="7"/>
        <v>3.5457479280805844</v>
      </c>
      <c r="M30" s="278"/>
      <c r="N30" s="260">
        <f>1257346/1000</f>
        <v>1257.346</v>
      </c>
      <c r="O30" s="32">
        <f t="shared" si="8"/>
        <v>2.8652973478704236</v>
      </c>
      <c r="P30" s="32"/>
    </row>
    <row r="31" spans="1:16" ht="14.25" customHeight="1" x14ac:dyDescent="0.25">
      <c r="A31" s="20" t="s">
        <v>29</v>
      </c>
      <c r="B31" s="63">
        <v>539.81600000000003</v>
      </c>
      <c r="C31" s="107">
        <f t="shared" si="9"/>
        <v>3.0445530454498031</v>
      </c>
      <c r="D31" s="58"/>
      <c r="E31" s="63">
        <v>761.97400000000005</v>
      </c>
      <c r="F31" s="107">
        <f t="shared" si="5"/>
        <v>3.2824948570338561</v>
      </c>
      <c r="G31" s="58"/>
      <c r="H31" s="63">
        <v>1466.1469999999999</v>
      </c>
      <c r="I31" s="107">
        <f t="shared" si="6"/>
        <v>4.2469412083094005</v>
      </c>
      <c r="J31" s="173"/>
      <c r="K31" s="63">
        <v>521.49199999999996</v>
      </c>
      <c r="L31" s="107">
        <f t="shared" si="7"/>
        <v>1.4142670245987792</v>
      </c>
      <c r="M31" s="278"/>
      <c r="N31" s="260">
        <f>541957/1000</f>
        <v>541.95699999999999</v>
      </c>
      <c r="O31" s="32">
        <f t="shared" si="8"/>
        <v>1.2350363024655195</v>
      </c>
      <c r="P31" s="32"/>
    </row>
    <row r="32" spans="1:16" ht="14.25" customHeight="1" x14ac:dyDescent="0.25">
      <c r="A32" s="20" t="s">
        <v>30</v>
      </c>
      <c r="B32" s="63">
        <v>183.559</v>
      </c>
      <c r="C32" s="107">
        <f t="shared" si="9"/>
        <v>1.035269633485707</v>
      </c>
      <c r="D32" s="58"/>
      <c r="E32" s="63">
        <v>219.3</v>
      </c>
      <c r="F32" s="107">
        <f t="shared" si="5"/>
        <v>0.94471874650253773</v>
      </c>
      <c r="G32" s="58"/>
      <c r="H32" s="63">
        <v>223.37100000000001</v>
      </c>
      <c r="I32" s="107">
        <f t="shared" si="6"/>
        <v>0.64703164460403984</v>
      </c>
      <c r="J32" s="173"/>
      <c r="K32" s="63">
        <v>216.46199999999999</v>
      </c>
      <c r="L32" s="107">
        <f t="shared" si="7"/>
        <v>0.58703694146545093</v>
      </c>
      <c r="M32" s="278"/>
      <c r="N32" s="260">
        <f>412434/1000</f>
        <v>412.43400000000003</v>
      </c>
      <c r="O32" s="32">
        <f t="shared" si="8"/>
        <v>0.93987338916383423</v>
      </c>
      <c r="P32" s="32"/>
    </row>
    <row r="33" spans="1:16" ht="14.25" customHeight="1" x14ac:dyDescent="0.25">
      <c r="A33" s="20" t="s">
        <v>31</v>
      </c>
      <c r="B33" s="63">
        <v>394.66699999999997</v>
      </c>
      <c r="C33" s="107">
        <f t="shared" si="9"/>
        <v>2.2259151577362237</v>
      </c>
      <c r="D33" s="58"/>
      <c r="E33" s="63">
        <v>646.92899999999997</v>
      </c>
      <c r="F33" s="107">
        <f t="shared" si="5"/>
        <v>2.7868944548843597</v>
      </c>
      <c r="G33" s="58"/>
      <c r="H33" s="63">
        <v>830.70100000000002</v>
      </c>
      <c r="I33" s="107">
        <f t="shared" si="6"/>
        <v>2.4062650666569092</v>
      </c>
      <c r="J33" s="173"/>
      <c r="K33" s="63">
        <v>781.20899999999995</v>
      </c>
      <c r="L33" s="107">
        <f t="shared" si="7"/>
        <v>2.1186099269399872</v>
      </c>
      <c r="M33" s="278"/>
      <c r="N33" s="260">
        <f>808716/1000</f>
        <v>808.71600000000001</v>
      </c>
      <c r="O33" s="32">
        <f t="shared" si="8"/>
        <v>1.8429388648632736</v>
      </c>
      <c r="P33" s="32"/>
    </row>
    <row r="34" spans="1:16" ht="14.25" customHeight="1" x14ac:dyDescent="0.25">
      <c r="A34" s="20" t="s">
        <v>32</v>
      </c>
      <c r="B34" s="63">
        <v>228.233</v>
      </c>
      <c r="C34" s="107">
        <f t="shared" si="9"/>
        <v>1.2872302325646976</v>
      </c>
      <c r="D34" s="58"/>
      <c r="E34" s="63">
        <v>191.93600000000001</v>
      </c>
      <c r="F34" s="107">
        <f t="shared" si="5"/>
        <v>0.82683783551623824</v>
      </c>
      <c r="G34" s="58"/>
      <c r="H34" s="63">
        <v>89.84</v>
      </c>
      <c r="I34" s="107">
        <f t="shared" si="6"/>
        <v>0.26023665986733702</v>
      </c>
      <c r="J34" s="173"/>
      <c r="K34" s="63">
        <v>46.466000000000001</v>
      </c>
      <c r="L34" s="107">
        <f t="shared" si="7"/>
        <v>0.12601407416605984</v>
      </c>
      <c r="M34" s="278"/>
      <c r="N34" s="260">
        <f>184472/1000</f>
        <v>184.47200000000001</v>
      </c>
      <c r="O34" s="32">
        <f t="shared" si="8"/>
        <v>0.4203831979076188</v>
      </c>
      <c r="P34" s="32"/>
    </row>
    <row r="35" spans="1:16" ht="14.25" customHeight="1" x14ac:dyDescent="0.25">
      <c r="A35" s="20" t="s">
        <v>96</v>
      </c>
      <c r="B35" s="63">
        <v>13.34</v>
      </c>
      <c r="C35" s="107">
        <f t="shared" si="9"/>
        <v>7.5237372783134193E-2</v>
      </c>
      <c r="D35" s="58"/>
      <c r="E35" s="63">
        <v>14.449</v>
      </c>
      <c r="F35" s="107">
        <f t="shared" si="5"/>
        <v>6.2244601770246995E-2</v>
      </c>
      <c r="G35" s="58"/>
      <c r="H35" s="63">
        <v>16.066800000000001</v>
      </c>
      <c r="I35" s="107">
        <f t="shared" si="6"/>
        <v>4.6540186629079813E-2</v>
      </c>
      <c r="J35" s="173"/>
      <c r="K35" s="63">
        <v>10.64</v>
      </c>
      <c r="L35" s="107">
        <f t="shared" si="7"/>
        <v>2.885528664242407E-2</v>
      </c>
      <c r="M35" s="278"/>
      <c r="N35" s="260">
        <v>17.888999999999999</v>
      </c>
      <c r="O35" s="32">
        <f t="shared" si="8"/>
        <v>4.0766268199886116E-2</v>
      </c>
      <c r="P35" s="32"/>
    </row>
    <row r="36" spans="1:16" ht="14.25" customHeight="1" x14ac:dyDescent="0.25">
      <c r="A36" s="20"/>
      <c r="B36" s="63"/>
      <c r="C36" s="58"/>
      <c r="D36" s="58"/>
      <c r="E36" s="63"/>
      <c r="F36" s="58"/>
      <c r="G36" s="58"/>
      <c r="H36" s="115"/>
      <c r="I36" s="58"/>
      <c r="J36" s="173"/>
      <c r="K36" s="63"/>
      <c r="L36" s="58"/>
      <c r="M36" s="278"/>
      <c r="N36" s="115"/>
      <c r="O36" s="32"/>
      <c r="P36" s="32"/>
    </row>
    <row r="37" spans="1:16" ht="14.25" customHeight="1" x14ac:dyDescent="0.25">
      <c r="A37" s="18" t="s">
        <v>34</v>
      </c>
      <c r="B37" s="241">
        <f>B38+B39+B40+B41+B42+B43+B44+B45</f>
        <v>3568.42</v>
      </c>
      <c r="C37" s="26">
        <f t="shared" ref="C37" si="10">B37/$B$7*100</f>
        <v>20.125828019999382</v>
      </c>
      <c r="D37" s="59"/>
      <c r="E37" s="241">
        <f>E38+E39+E40+E41+E42+E43+E44+E45</f>
        <v>4939.7919999999995</v>
      </c>
      <c r="F37" s="59">
        <f>E37/E7*100</f>
        <v>21.280046084009406</v>
      </c>
      <c r="G37" s="59"/>
      <c r="H37" s="241">
        <f>H38+H39+H40+H41+H42+H43+H44+H45</f>
        <v>6264.0249999999996</v>
      </c>
      <c r="I37" s="59">
        <f>H37/H7*100</f>
        <v>18.144801239152887</v>
      </c>
      <c r="J37" s="173"/>
      <c r="K37" s="241">
        <f>K38+K39+K40+K41+K42+K43+K44+K45</f>
        <v>6438.54</v>
      </c>
      <c r="L37" s="59">
        <f>K37/K7*100</f>
        <v>17.461082449127165</v>
      </c>
      <c r="M37" s="278"/>
      <c r="N37" s="241">
        <f>N38+N39+N40+N41+N42+N43+N44+N45</f>
        <v>8485.7360000000008</v>
      </c>
      <c r="O37" s="25">
        <f t="shared" si="8"/>
        <v>19.337681796043874</v>
      </c>
      <c r="P37" s="25"/>
    </row>
    <row r="38" spans="1:16" ht="14.25" customHeight="1" x14ac:dyDescent="0.25">
      <c r="A38" s="20" t="s">
        <v>35</v>
      </c>
      <c r="B38" s="63">
        <v>553.70699999999999</v>
      </c>
      <c r="C38" s="58">
        <f>B38/$B$7*100</f>
        <v>3.1228980488478926</v>
      </c>
      <c r="D38" s="58"/>
      <c r="E38" s="63">
        <v>674.33699999999999</v>
      </c>
      <c r="F38" s="58">
        <f t="shared" ref="F38:F50" si="11">E38/$E$7*100</f>
        <v>2.9049649127235826</v>
      </c>
      <c r="G38" s="58"/>
      <c r="H38" s="63">
        <v>1512.6590000000001</v>
      </c>
      <c r="I38" s="58">
        <f t="shared" ref="I38:I50" si="12">H38/$H$7*100</f>
        <v>4.3816710338186349</v>
      </c>
      <c r="J38" s="173"/>
      <c r="K38" s="63">
        <v>1411.9</v>
      </c>
      <c r="L38" s="58">
        <f t="shared" ref="L38:L50" si="13">K38/$K$7*100</f>
        <v>3.8290206024848255</v>
      </c>
      <c r="M38" s="278"/>
      <c r="N38" s="260">
        <f>1281063/1000</f>
        <v>1281.0630000000001</v>
      </c>
      <c r="O38" s="32">
        <f t="shared" si="8"/>
        <v>2.9193447279865121</v>
      </c>
      <c r="P38" s="32"/>
    </row>
    <row r="39" spans="1:16" ht="14.25" customHeight="1" x14ac:dyDescent="0.25">
      <c r="A39" s="20" t="s">
        <v>36</v>
      </c>
      <c r="B39" s="63">
        <v>160.87899999999999</v>
      </c>
      <c r="C39" s="58">
        <f t="shared" ref="C39:C45" si="14">B39/$B$7*100</f>
        <v>0.90735481978844423</v>
      </c>
      <c r="D39" s="58"/>
      <c r="E39" s="63">
        <v>334.36099999999999</v>
      </c>
      <c r="F39" s="58">
        <f t="shared" si="11"/>
        <v>1.4403880747803692</v>
      </c>
      <c r="G39" s="58"/>
      <c r="H39" s="63">
        <v>434.27699999999999</v>
      </c>
      <c r="I39" s="58">
        <f t="shared" si="12"/>
        <v>1.2579563216519092</v>
      </c>
      <c r="J39" s="173"/>
      <c r="K39" s="63">
        <v>415.17899999999997</v>
      </c>
      <c r="L39" s="58">
        <f t="shared" si="13"/>
        <v>1.1259500989581748</v>
      </c>
      <c r="M39" s="278"/>
      <c r="N39" s="260">
        <f>346125/1000</f>
        <v>346.125</v>
      </c>
      <c r="O39" s="32">
        <f t="shared" si="8"/>
        <v>0.78876541901087716</v>
      </c>
      <c r="P39" s="32"/>
    </row>
    <row r="40" spans="1:16" ht="14.25" customHeight="1" x14ac:dyDescent="0.25">
      <c r="A40" s="20" t="s">
        <v>37</v>
      </c>
      <c r="B40" s="63">
        <v>257.78399999999999</v>
      </c>
      <c r="C40" s="58">
        <f t="shared" si="14"/>
        <v>1.4538973692299448</v>
      </c>
      <c r="D40" s="58"/>
      <c r="E40" s="63">
        <v>300.42700000000002</v>
      </c>
      <c r="F40" s="58">
        <f t="shared" si="11"/>
        <v>1.2942043723461827</v>
      </c>
      <c r="G40" s="58"/>
      <c r="H40" s="63">
        <v>397.04199999999997</v>
      </c>
      <c r="I40" s="58">
        <f t="shared" si="12"/>
        <v>1.1500988858754142</v>
      </c>
      <c r="J40" s="173"/>
      <c r="K40" s="63">
        <v>257.125</v>
      </c>
      <c r="L40" s="58">
        <f t="shared" si="13"/>
        <v>0.69731349416666244</v>
      </c>
      <c r="M40" s="278"/>
      <c r="N40" s="260">
        <f>453037/1000</f>
        <v>453.03699999999998</v>
      </c>
      <c r="O40" s="32">
        <f t="shared" si="8"/>
        <v>1.0324013553844154</v>
      </c>
      <c r="P40" s="32"/>
    </row>
    <row r="41" spans="1:16" ht="14.25" customHeight="1" x14ac:dyDescent="0.25">
      <c r="A41" s="20" t="s">
        <v>38</v>
      </c>
      <c r="B41" s="63">
        <v>223.92</v>
      </c>
      <c r="C41" s="58">
        <f t="shared" si="14"/>
        <v>1.2629049860269421</v>
      </c>
      <c r="D41" s="58"/>
      <c r="E41" s="63">
        <v>255.59800000000001</v>
      </c>
      <c r="F41" s="58">
        <f t="shared" si="11"/>
        <v>1.1010862843983382</v>
      </c>
      <c r="G41" s="58"/>
      <c r="H41" s="63">
        <v>347.93200000000002</v>
      </c>
      <c r="I41" s="58">
        <f t="shared" si="12"/>
        <v>1.0078435167070605</v>
      </c>
      <c r="J41" s="173"/>
      <c r="K41" s="63">
        <v>320.23599999999999</v>
      </c>
      <c r="L41" s="58">
        <f t="shared" si="13"/>
        <v>0.86846819297211586</v>
      </c>
      <c r="M41" s="278"/>
      <c r="N41" s="260">
        <f>1095320/1000</f>
        <v>1095.32</v>
      </c>
      <c r="O41" s="32">
        <f t="shared" si="8"/>
        <v>2.4960651173737638</v>
      </c>
      <c r="P41" s="32"/>
    </row>
    <row r="42" spans="1:16" ht="14.25" customHeight="1" x14ac:dyDescent="0.25">
      <c r="A42" s="20" t="s">
        <v>39</v>
      </c>
      <c r="B42" s="63">
        <v>354.42899999999997</v>
      </c>
      <c r="C42" s="58">
        <f t="shared" si="14"/>
        <v>1.9989735230999603</v>
      </c>
      <c r="D42" s="58"/>
      <c r="E42" s="63">
        <v>455.74299999999999</v>
      </c>
      <c r="F42" s="58">
        <f t="shared" si="11"/>
        <v>1.9632875316338623</v>
      </c>
      <c r="G42" s="58"/>
      <c r="H42" s="63">
        <v>530.68299999999999</v>
      </c>
      <c r="I42" s="58">
        <f t="shared" si="12"/>
        <v>1.5372125041003784</v>
      </c>
      <c r="J42" s="173"/>
      <c r="K42" s="63">
        <v>557.34</v>
      </c>
      <c r="L42" s="58">
        <f t="shared" si="13"/>
        <v>1.5114854753090818</v>
      </c>
      <c r="M42" s="278"/>
      <c r="N42" s="260">
        <f>670317/1000</f>
        <v>670.31700000000001</v>
      </c>
      <c r="O42" s="32">
        <f t="shared" si="8"/>
        <v>1.5275489183824174</v>
      </c>
      <c r="P42" s="32"/>
    </row>
    <row r="43" spans="1:16" ht="14.25" customHeight="1" x14ac:dyDescent="0.25">
      <c r="A43" s="20" t="s">
        <v>40</v>
      </c>
      <c r="B43" s="63">
        <v>540.452</v>
      </c>
      <c r="C43" s="58">
        <f t="shared" si="14"/>
        <v>3.0481400746169744</v>
      </c>
      <c r="D43" s="58"/>
      <c r="E43" s="63">
        <v>744.48</v>
      </c>
      <c r="F43" s="58">
        <f t="shared" si="11"/>
        <v>3.2071327514647021</v>
      </c>
      <c r="G43" s="58"/>
      <c r="H43" s="63">
        <v>417.78</v>
      </c>
      <c r="I43" s="58">
        <f t="shared" si="12"/>
        <v>1.2101699884169195</v>
      </c>
      <c r="J43" s="173"/>
      <c r="K43" s="63">
        <v>902.37699999999995</v>
      </c>
      <c r="L43" s="58">
        <f t="shared" si="13"/>
        <v>2.4472130633957425</v>
      </c>
      <c r="M43" s="278"/>
      <c r="N43" s="260">
        <f>1014987/1000</f>
        <v>1014.987</v>
      </c>
      <c r="O43" s="32">
        <f t="shared" si="8"/>
        <v>2.3129986171053614</v>
      </c>
      <c r="P43" s="32"/>
    </row>
    <row r="44" spans="1:16" ht="14.25" customHeight="1" x14ac:dyDescent="0.25">
      <c r="A44" s="20" t="s">
        <v>41</v>
      </c>
      <c r="B44" s="63">
        <v>750.09400000000005</v>
      </c>
      <c r="C44" s="58">
        <f t="shared" si="14"/>
        <v>4.2305173838375012</v>
      </c>
      <c r="D44" s="58"/>
      <c r="E44" s="63">
        <v>1334.8340000000001</v>
      </c>
      <c r="F44" s="58">
        <f t="shared" si="11"/>
        <v>5.7503087244367004</v>
      </c>
      <c r="G44" s="58"/>
      <c r="H44" s="63">
        <v>1636.838</v>
      </c>
      <c r="I44" s="58">
        <f t="shared" si="12"/>
        <v>4.7413763787169652</v>
      </c>
      <c r="J44" s="173"/>
      <c r="K44" s="63">
        <v>1431.0139999999999</v>
      </c>
      <c r="L44" s="58">
        <f t="shared" si="13"/>
        <v>3.8808570638460367</v>
      </c>
      <c r="M44" s="278"/>
      <c r="N44" s="260">
        <f>2569588/1000</f>
        <v>2569.5880000000002</v>
      </c>
      <c r="O44" s="32">
        <f t="shared" si="8"/>
        <v>5.8556942015321685</v>
      </c>
      <c r="P44" s="32"/>
    </row>
    <row r="45" spans="1:16" ht="14.25" customHeight="1" x14ac:dyDescent="0.25">
      <c r="A45" s="20" t="s">
        <v>42</v>
      </c>
      <c r="B45" s="63">
        <v>727.15499999999997</v>
      </c>
      <c r="C45" s="58">
        <f t="shared" si="14"/>
        <v>4.1011418145517204</v>
      </c>
      <c r="D45" s="58"/>
      <c r="E45" s="63">
        <v>840.01199999999994</v>
      </c>
      <c r="F45" s="58">
        <f t="shared" si="11"/>
        <v>3.6186734322256706</v>
      </c>
      <c r="G45" s="58"/>
      <c r="H45" s="63">
        <v>986.81399999999996</v>
      </c>
      <c r="I45" s="58">
        <f t="shared" si="12"/>
        <v>2.8584726098656086</v>
      </c>
      <c r="J45" s="173"/>
      <c r="K45" s="63">
        <v>1143.3689999999999</v>
      </c>
      <c r="L45" s="58">
        <f t="shared" si="13"/>
        <v>3.1007744579945267</v>
      </c>
      <c r="M45" s="278"/>
      <c r="N45" s="260">
        <f>1055299/1000</f>
        <v>1055.299</v>
      </c>
      <c r="O45" s="32">
        <f t="shared" si="8"/>
        <v>2.4048634392683557</v>
      </c>
      <c r="P45" s="32"/>
    </row>
    <row r="46" spans="1:16" ht="14.25" customHeight="1" x14ac:dyDescent="0.25">
      <c r="A46" s="18" t="s">
        <v>43</v>
      </c>
      <c r="B46" s="241">
        <f>B47+B48+B49+B50</f>
        <v>1666.5840000000001</v>
      </c>
      <c r="C46" s="59">
        <f>B46/$B$7*100</f>
        <v>9.3995053734937724</v>
      </c>
      <c r="D46" s="59"/>
      <c r="E46" s="241">
        <f>E47+E48+E49+E50</f>
        <v>2336.4930000000004</v>
      </c>
      <c r="F46" s="26">
        <f t="shared" si="11"/>
        <v>10.065338523355923</v>
      </c>
      <c r="G46" s="59"/>
      <c r="H46" s="241">
        <f>H47+H48+H49+H50</f>
        <v>3583.902</v>
      </c>
      <c r="I46" s="26">
        <f t="shared" si="12"/>
        <v>10.381374507701123</v>
      </c>
      <c r="J46" s="173"/>
      <c r="K46" s="241">
        <f>K47+K48+K49+K50</f>
        <v>3561.9269999999997</v>
      </c>
      <c r="L46" s="26">
        <f t="shared" si="13"/>
        <v>9.6598143406381229</v>
      </c>
      <c r="M46" s="278"/>
      <c r="N46" s="241">
        <f>N47+N48+N49+N50</f>
        <v>3999.6680000000006</v>
      </c>
      <c r="O46" s="25">
        <f t="shared" si="8"/>
        <v>9.1146256581419927</v>
      </c>
      <c r="P46" s="25"/>
    </row>
    <row r="47" spans="1:16" ht="14.25" customHeight="1" x14ac:dyDescent="0.25">
      <c r="A47" s="20" t="s">
        <v>44</v>
      </c>
      <c r="B47" s="63">
        <v>687.50300000000004</v>
      </c>
      <c r="C47" s="58">
        <f>B47/$B$7*100</f>
        <v>3.8775052099342662</v>
      </c>
      <c r="D47" s="58"/>
      <c r="E47" s="63">
        <v>996.673</v>
      </c>
      <c r="F47" s="58">
        <f t="shared" si="11"/>
        <v>4.2935506941765782</v>
      </c>
      <c r="G47" s="58"/>
      <c r="H47" s="63">
        <v>1604.242</v>
      </c>
      <c r="I47" s="58">
        <f t="shared" si="12"/>
        <v>4.6469565861408775</v>
      </c>
      <c r="J47" s="173"/>
      <c r="K47" s="63">
        <v>1442.13</v>
      </c>
      <c r="L47" s="58">
        <f t="shared" si="13"/>
        <v>3.9110032448908858</v>
      </c>
      <c r="M47" s="278"/>
      <c r="N47" s="260">
        <f>1787862/1000</f>
        <v>1787.8620000000001</v>
      </c>
      <c r="O47" s="32">
        <f t="shared" si="8"/>
        <v>4.0742613782986634</v>
      </c>
      <c r="P47" s="32"/>
    </row>
    <row r="48" spans="1:16" ht="14.25" customHeight="1" x14ac:dyDescent="0.25">
      <c r="A48" s="20" t="s">
        <v>45</v>
      </c>
      <c r="B48" s="63">
        <v>147.56200000000001</v>
      </c>
      <c r="C48" s="58">
        <f t="shared" ref="C48:C50" si="15">B48/$B$7*100</f>
        <v>0.83224716661355702</v>
      </c>
      <c r="D48" s="58"/>
      <c r="E48" s="63">
        <v>179.93700000000001</v>
      </c>
      <c r="F48" s="58">
        <f t="shared" si="11"/>
        <v>0.77514754714741041</v>
      </c>
      <c r="G48" s="58"/>
      <c r="H48" s="63">
        <v>328.52</v>
      </c>
      <c r="I48" s="58">
        <f t="shared" si="12"/>
        <v>0.95161339603314288</v>
      </c>
      <c r="J48" s="173"/>
      <c r="K48" s="63">
        <v>403.27</v>
      </c>
      <c r="L48" s="58">
        <f t="shared" si="13"/>
        <v>1.0936533312302963</v>
      </c>
      <c r="M48" s="278"/>
      <c r="N48" s="260">
        <f>361403/1000</f>
        <v>361.40300000000002</v>
      </c>
      <c r="O48" s="32">
        <f t="shared" si="8"/>
        <v>0.82358162145695357</v>
      </c>
      <c r="P48" s="32"/>
    </row>
    <row r="49" spans="1:16" ht="14.25" customHeight="1" x14ac:dyDescent="0.25">
      <c r="A49" s="20" t="s">
        <v>46</v>
      </c>
      <c r="B49" s="63">
        <v>232.35599999999999</v>
      </c>
      <c r="C49" s="58">
        <f t="shared" si="15"/>
        <v>1.3104838823386753</v>
      </c>
      <c r="D49" s="58"/>
      <c r="E49" s="63">
        <v>449.98899999999998</v>
      </c>
      <c r="F49" s="58">
        <f t="shared" si="11"/>
        <v>1.9384999727311008</v>
      </c>
      <c r="G49" s="58"/>
      <c r="H49" s="63">
        <v>589.95600000000002</v>
      </c>
      <c r="I49" s="58">
        <f t="shared" si="12"/>
        <v>1.7089067109160139</v>
      </c>
      <c r="J49" s="173"/>
      <c r="K49" s="63">
        <v>571.83199999999999</v>
      </c>
      <c r="L49" s="58">
        <f t="shared" si="13"/>
        <v>1.5507872435442331</v>
      </c>
      <c r="M49" s="278"/>
      <c r="N49" s="260">
        <f>382398/1000</f>
        <v>382.39800000000002</v>
      </c>
      <c r="O49" s="32">
        <f t="shared" si="8"/>
        <v>0.87142598396221427</v>
      </c>
      <c r="P49" s="32"/>
    </row>
    <row r="50" spans="1:16" ht="14.25" customHeight="1" x14ac:dyDescent="0.25">
      <c r="A50" s="20" t="s">
        <v>47</v>
      </c>
      <c r="B50" s="63">
        <v>599.16300000000001</v>
      </c>
      <c r="C50" s="58">
        <f t="shared" si="15"/>
        <v>3.3792691146072742</v>
      </c>
      <c r="D50" s="58"/>
      <c r="E50" s="63">
        <v>709.89400000000001</v>
      </c>
      <c r="F50" s="58">
        <f t="shared" si="11"/>
        <v>3.0581403093008315</v>
      </c>
      <c r="G50" s="58"/>
      <c r="H50" s="63">
        <v>1061.184</v>
      </c>
      <c r="I50" s="58">
        <f t="shared" si="12"/>
        <v>3.073897814611088</v>
      </c>
      <c r="J50" s="173"/>
      <c r="K50" s="63">
        <v>1144.6949999999999</v>
      </c>
      <c r="L50" s="58">
        <f t="shared" si="13"/>
        <v>3.1043705209727084</v>
      </c>
      <c r="M50" s="278"/>
      <c r="N50" s="260">
        <f>1468005/1000</f>
        <v>1468.0050000000001</v>
      </c>
      <c r="O50" s="32">
        <f t="shared" si="8"/>
        <v>3.3453566744241616</v>
      </c>
      <c r="P50" s="32"/>
    </row>
    <row r="51" spans="1:16" ht="14.25" customHeight="1" x14ac:dyDescent="0.25">
      <c r="A51" s="20"/>
      <c r="B51" s="63"/>
      <c r="C51" s="58"/>
      <c r="D51" s="58"/>
      <c r="E51" s="63"/>
      <c r="F51" s="58"/>
      <c r="G51" s="58"/>
      <c r="H51" s="115"/>
      <c r="I51" s="58"/>
      <c r="J51" s="173"/>
      <c r="K51" s="63">
        <v>0</v>
      </c>
      <c r="L51" s="58"/>
      <c r="M51" s="278"/>
      <c r="N51" s="260"/>
      <c r="O51" s="32"/>
      <c r="P51" s="32"/>
    </row>
    <row r="52" spans="1:16" ht="14.25" customHeight="1" x14ac:dyDescent="0.25">
      <c r="A52" s="318" t="s">
        <v>48</v>
      </c>
      <c r="B52" s="82">
        <f>B53+B54+B55</f>
        <v>1523.154</v>
      </c>
      <c r="C52" s="26">
        <f>B52/$B$7*100</f>
        <v>8.5905626165008986</v>
      </c>
      <c r="D52" s="204"/>
      <c r="E52" s="82">
        <f>E53+E54+E55</f>
        <v>1969.5140000000001</v>
      </c>
      <c r="F52" s="26">
        <f>E52/E7*100</f>
        <v>8.4844359201969848</v>
      </c>
      <c r="G52" s="204"/>
      <c r="H52" s="82">
        <f>H53+H54+H55</f>
        <v>3014.8470000000002</v>
      </c>
      <c r="I52" s="26">
        <f>H52/H7*100</f>
        <v>8.7330110562228551</v>
      </c>
      <c r="J52" s="204"/>
      <c r="K52" s="82">
        <f>K53+K54+K55</f>
        <v>3929.4890000000005</v>
      </c>
      <c r="L52" s="26">
        <f>K52/K7*100</f>
        <v>10.65662889598236</v>
      </c>
      <c r="M52" s="204"/>
      <c r="N52" s="240">
        <f>N53</f>
        <v>4626.8069999999998</v>
      </c>
      <c r="O52" s="25">
        <f>N52/$N$7*100</f>
        <v>10.543778582990132</v>
      </c>
      <c r="P52" s="25"/>
    </row>
    <row r="53" spans="1:16" ht="14.25" customHeight="1" x14ac:dyDescent="0.25">
      <c r="A53" s="20" t="s">
        <v>49</v>
      </c>
      <c r="B53" s="63">
        <v>1462.1980000000001</v>
      </c>
      <c r="C53" s="58">
        <f>B53/$B$7*100</f>
        <v>8.2467718147491205</v>
      </c>
      <c r="D53" s="20"/>
      <c r="E53" s="63">
        <v>1907.9860000000001</v>
      </c>
      <c r="F53" s="58">
        <f>E53/$E$7*100</f>
        <v>8.2193804936816726</v>
      </c>
      <c r="G53" s="20"/>
      <c r="H53" s="63">
        <v>2952.4920000000002</v>
      </c>
      <c r="I53" s="58">
        <f>H53/$H$7*100</f>
        <v>8.5523893183997508</v>
      </c>
      <c r="J53" s="20"/>
      <c r="K53" s="63">
        <v>3867.0160000000001</v>
      </c>
      <c r="L53" s="58">
        <f>K53/$K$7*100</f>
        <v>10.487204429590239</v>
      </c>
      <c r="M53" s="20"/>
      <c r="N53" s="260">
        <f>4626807/1000</f>
        <v>4626.8069999999998</v>
      </c>
      <c r="O53" s="32">
        <f>N53/$N$7*100</f>
        <v>10.543778582990132</v>
      </c>
      <c r="P53" s="32"/>
    </row>
    <row r="54" spans="1:16" ht="14.25" customHeight="1" x14ac:dyDescent="0.25">
      <c r="A54" s="20" t="s">
        <v>50</v>
      </c>
      <c r="B54" s="63">
        <v>0.60899999999999999</v>
      </c>
      <c r="C54" s="58">
        <f t="shared" ref="C54:C55" si="16">B54/$B$7*100</f>
        <v>3.4347496270561262E-3</v>
      </c>
      <c r="D54" s="20"/>
      <c r="E54" s="63">
        <v>1.181</v>
      </c>
      <c r="F54" s="58">
        <f>E54/$E$7*100</f>
        <v>5.0876098477861233E-3</v>
      </c>
      <c r="G54" s="20"/>
      <c r="H54" s="63">
        <v>2.008</v>
      </c>
      <c r="I54" s="58">
        <f>H54/$H$7*100</f>
        <v>5.8165094948086898E-3</v>
      </c>
      <c r="J54" s="20"/>
      <c r="K54" s="63">
        <v>2.1259999999999999</v>
      </c>
      <c r="L54" s="58">
        <f>K54/$K$7*100</f>
        <v>5.7656334024242077E-3</v>
      </c>
      <c r="M54" s="20"/>
      <c r="N54" s="131" t="s">
        <v>72</v>
      </c>
      <c r="O54" s="115" t="s">
        <v>95</v>
      </c>
      <c r="P54" s="115"/>
    </row>
    <row r="55" spans="1:16" ht="14.25" customHeight="1" x14ac:dyDescent="0.25">
      <c r="A55" s="20" t="s">
        <v>51</v>
      </c>
      <c r="B55" s="63">
        <v>60.347000000000001</v>
      </c>
      <c r="C55" s="58">
        <f t="shared" si="16"/>
        <v>0.34035605212472259</v>
      </c>
      <c r="D55" s="20"/>
      <c r="E55" s="63">
        <v>60.347000000000001</v>
      </c>
      <c r="F55" s="58">
        <f>E55/$E$7*100</f>
        <v>0.25996781666752683</v>
      </c>
      <c r="G55" s="20"/>
      <c r="H55" s="63">
        <v>60.347000000000001</v>
      </c>
      <c r="I55" s="58">
        <f>H55/$H$7*100</f>
        <v>0.17480522832829681</v>
      </c>
      <c r="J55" s="20"/>
      <c r="K55" s="63">
        <v>60.347000000000001</v>
      </c>
      <c r="L55" s="58">
        <f>K55/$K$7*100</f>
        <v>0.16365883298969597</v>
      </c>
      <c r="M55" s="20"/>
      <c r="N55" s="131" t="s">
        <v>72</v>
      </c>
      <c r="O55" s="115" t="s">
        <v>95</v>
      </c>
      <c r="P55" s="115"/>
    </row>
    <row r="56" spans="1:16" ht="14.25" customHeight="1" x14ac:dyDescent="0.25">
      <c r="A56" s="318" t="s">
        <v>52</v>
      </c>
      <c r="B56" s="82">
        <f>B57+B58+B59+B60+B61+B62+B63+B64</f>
        <v>16703.746000000003</v>
      </c>
      <c r="C56" s="26">
        <f>SUM(C57:C64)</f>
        <v>99.999999999999972</v>
      </c>
      <c r="D56" s="204"/>
      <c r="E56" s="82">
        <f>E57+E58+E59+E60+E61+E62+E63+E64</f>
        <v>21275.350999999999</v>
      </c>
      <c r="F56" s="26">
        <f>E56/E56*100</f>
        <v>100</v>
      </c>
      <c r="G56" s="204"/>
      <c r="H56" s="82">
        <f>H57+H58+H59+H60+H61+H62+H63+H64</f>
        <v>37924.333999999995</v>
      </c>
      <c r="I56" s="26">
        <f>SUM(I57:I64)</f>
        <v>100.00000000000003</v>
      </c>
      <c r="J56" s="20"/>
      <c r="K56" s="82">
        <f>K57+K58+K59+K60+K61+K62+K63+K64</f>
        <v>45106.648999999998</v>
      </c>
      <c r="L56" s="26">
        <v>100</v>
      </c>
      <c r="M56" s="20"/>
      <c r="N56" s="240">
        <f>SUM(N57:N64)</f>
        <v>47837.972999999998</v>
      </c>
      <c r="O56" s="49">
        <v>100</v>
      </c>
      <c r="P56" s="49"/>
    </row>
    <row r="57" spans="1:16" ht="14.25" customHeight="1" x14ac:dyDescent="0.25">
      <c r="A57" s="20" t="s">
        <v>53</v>
      </c>
      <c r="B57" s="63">
        <v>4173.3119999999999</v>
      </c>
      <c r="C57" s="58">
        <f>B57/$B$56*100</f>
        <v>24.984287955528053</v>
      </c>
      <c r="D57" s="20"/>
      <c r="E57" s="63">
        <v>5749.28</v>
      </c>
      <c r="F57" s="58">
        <f t="shared" ref="F57:F64" si="17">E57/$E$56*100</f>
        <v>27.023196938090472</v>
      </c>
      <c r="G57" s="20"/>
      <c r="H57" s="63">
        <v>9247.4269999999997</v>
      </c>
      <c r="I57" s="58">
        <f t="shared" ref="I57:I64" si="18">H57/$H$56*100</f>
        <v>24.383887664316006</v>
      </c>
      <c r="J57" s="20"/>
      <c r="K57" s="63">
        <v>14609.294</v>
      </c>
      <c r="L57" s="58">
        <f t="shared" ref="L57:L64" si="19">K57/$K$56*100</f>
        <v>32.388338136135985</v>
      </c>
      <c r="M57" s="20"/>
      <c r="N57" s="260">
        <f>16373449/1000</f>
        <v>16373.449000000001</v>
      </c>
      <c r="O57" s="58">
        <f t="shared" ref="O57:O63" si="20">N57/$N$56*100</f>
        <v>34.226887079851821</v>
      </c>
      <c r="P57" s="58"/>
    </row>
    <row r="58" spans="1:16" ht="14.25" customHeight="1" x14ac:dyDescent="0.25">
      <c r="A58" s="20" t="s">
        <v>124</v>
      </c>
      <c r="B58" s="63">
        <v>1875.856</v>
      </c>
      <c r="C58" s="58">
        <f t="shared" ref="C58:C64" si="21">B58/$B$56*100</f>
        <v>11.230151607908786</v>
      </c>
      <c r="D58" s="20"/>
      <c r="E58" s="63">
        <v>2288.1030000000001</v>
      </c>
      <c r="F58" s="58">
        <f t="shared" si="17"/>
        <v>10.754713282991196</v>
      </c>
      <c r="G58" s="20"/>
      <c r="H58" s="63">
        <v>5239.6750000000002</v>
      </c>
      <c r="I58" s="58">
        <f t="shared" si="18"/>
        <v>13.816129243034304</v>
      </c>
      <c r="J58" s="20"/>
      <c r="K58" s="63">
        <v>6789.76</v>
      </c>
      <c r="L58" s="58">
        <f t="shared" si="19"/>
        <v>15.05268103600425</v>
      </c>
      <c r="M58" s="20"/>
      <c r="N58" s="260">
        <f>7363882/1000</f>
        <v>7363.8819999999996</v>
      </c>
      <c r="O58" s="58">
        <f t="shared" si="20"/>
        <v>15.393382156890301</v>
      </c>
      <c r="P58" s="58"/>
    </row>
    <row r="59" spans="1:16" ht="14.25" customHeight="1" x14ac:dyDescent="0.25">
      <c r="A59" s="20" t="s">
        <v>55</v>
      </c>
      <c r="B59" s="63">
        <v>79.808000000000007</v>
      </c>
      <c r="C59" s="58">
        <f t="shared" si="21"/>
        <v>0.47778504294785129</v>
      </c>
      <c r="D59" s="20"/>
      <c r="E59" s="63">
        <v>94.959000000000003</v>
      </c>
      <c r="F59" s="58">
        <f t="shared" si="17"/>
        <v>0.44633341184359315</v>
      </c>
      <c r="G59" s="20"/>
      <c r="H59" s="63">
        <v>159.28800000000001</v>
      </c>
      <c r="I59" s="58">
        <f t="shared" si="18"/>
        <v>0.42001528622757106</v>
      </c>
      <c r="J59" s="20"/>
      <c r="K59" s="63">
        <v>176.43899999999999</v>
      </c>
      <c r="L59" s="58">
        <f t="shared" si="19"/>
        <v>0.39115962704301088</v>
      </c>
      <c r="M59" s="20"/>
      <c r="N59" s="260">
        <f>179234/1000</f>
        <v>179.23400000000001</v>
      </c>
      <c r="O59" s="58">
        <f t="shared" si="20"/>
        <v>0.37466888490446704</v>
      </c>
      <c r="P59" s="58"/>
    </row>
    <row r="60" spans="1:16" ht="14.25" customHeight="1" x14ac:dyDescent="0.25">
      <c r="A60" s="20" t="s">
        <v>56</v>
      </c>
      <c r="B60" s="63">
        <v>5088.3670000000002</v>
      </c>
      <c r="C60" s="58">
        <f t="shared" si="21"/>
        <v>30.462430403335873</v>
      </c>
      <c r="D60" s="20"/>
      <c r="E60" s="63">
        <v>5697.7259999999997</v>
      </c>
      <c r="F60" s="58">
        <f t="shared" si="17"/>
        <v>26.7808789617619</v>
      </c>
      <c r="G60" s="20"/>
      <c r="H60" s="63">
        <v>11677.377</v>
      </c>
      <c r="I60" s="58">
        <f t="shared" si="18"/>
        <v>30.791251337465813</v>
      </c>
      <c r="J60" s="20"/>
      <c r="K60" s="63">
        <v>13777.543</v>
      </c>
      <c r="L60" s="58">
        <f t="shared" si="19"/>
        <v>30.544372737597953</v>
      </c>
      <c r="M60" s="20"/>
      <c r="N60" s="260">
        <f>13685345/1000</f>
        <v>13685.344999999999</v>
      </c>
      <c r="O60" s="58">
        <f t="shared" si="20"/>
        <v>28.607702504451847</v>
      </c>
      <c r="P60" s="58"/>
    </row>
    <row r="61" spans="1:16" ht="14.25" customHeight="1" x14ac:dyDescent="0.25">
      <c r="A61" s="20" t="s">
        <v>57</v>
      </c>
      <c r="B61" s="63">
        <v>4072.1370000000002</v>
      </c>
      <c r="C61" s="58">
        <f t="shared" si="21"/>
        <v>24.378585498127183</v>
      </c>
      <c r="D61" s="20"/>
      <c r="E61" s="63">
        <v>5445.5929999999998</v>
      </c>
      <c r="F61" s="58">
        <f t="shared" si="17"/>
        <v>25.595784530182371</v>
      </c>
      <c r="G61" s="20"/>
      <c r="H61" s="63">
        <v>8177.8230000000003</v>
      </c>
      <c r="I61" s="58">
        <f t="shared" si="18"/>
        <v>21.563524358792961</v>
      </c>
      <c r="J61" s="20"/>
      <c r="K61" s="63">
        <v>6459.2640000000001</v>
      </c>
      <c r="L61" s="58">
        <f t="shared" si="19"/>
        <v>14.319981960974312</v>
      </c>
      <c r="M61" s="20"/>
      <c r="N61" s="260">
        <f>7044548/1000</f>
        <v>7044.5479999999998</v>
      </c>
      <c r="O61" s="58">
        <f t="shared" si="20"/>
        <v>14.725849692669879</v>
      </c>
      <c r="P61" s="58"/>
    </row>
    <row r="62" spans="1:16" ht="14.25" customHeight="1" x14ac:dyDescent="0.25">
      <c r="A62" s="20" t="s">
        <v>58</v>
      </c>
      <c r="B62" s="63">
        <v>1375.0820000000001</v>
      </c>
      <c r="C62" s="58">
        <f t="shared" si="21"/>
        <v>8.2321773810497358</v>
      </c>
      <c r="D62" s="20"/>
      <c r="E62" s="63">
        <v>1949.422</v>
      </c>
      <c r="F62" s="58">
        <f t="shared" si="17"/>
        <v>9.1628194524264259</v>
      </c>
      <c r="G62" s="20"/>
      <c r="H62" s="63">
        <v>3379.866</v>
      </c>
      <c r="I62" s="58">
        <f t="shared" si="18"/>
        <v>8.9121301378687381</v>
      </c>
      <c r="J62" s="20"/>
      <c r="K62" s="63">
        <v>3228.0410000000002</v>
      </c>
      <c r="L62" s="58">
        <f t="shared" si="19"/>
        <v>7.1564637843081629</v>
      </c>
      <c r="M62" s="20"/>
      <c r="N62" s="260">
        <f>3140470/1000</f>
        <v>3140.47</v>
      </c>
      <c r="O62" s="58">
        <f t="shared" si="20"/>
        <v>6.5648057454273818</v>
      </c>
      <c r="P62" s="58"/>
    </row>
    <row r="63" spans="1:16" ht="14.25" customHeight="1" x14ac:dyDescent="0.25">
      <c r="A63" s="20" t="s">
        <v>59</v>
      </c>
      <c r="B63" s="63">
        <v>27.588000000000001</v>
      </c>
      <c r="C63" s="58">
        <f t="shared" si="21"/>
        <v>0.1651605573983225</v>
      </c>
      <c r="D63" s="20"/>
      <c r="E63" s="63">
        <v>44.694000000000003</v>
      </c>
      <c r="F63" s="58">
        <f t="shared" si="17"/>
        <v>0.21007408996448523</v>
      </c>
      <c r="G63" s="20"/>
      <c r="H63" s="63">
        <v>38.539000000000001</v>
      </c>
      <c r="I63" s="58">
        <f t="shared" si="18"/>
        <v>0.10162076939834991</v>
      </c>
      <c r="J63" s="20"/>
      <c r="K63" s="63">
        <v>61.969000000000001</v>
      </c>
      <c r="L63" s="58">
        <f t="shared" si="19"/>
        <v>0.13738329353617026</v>
      </c>
      <c r="M63" s="20"/>
      <c r="N63" s="260">
        <f>51045/1000</f>
        <v>51.045000000000002</v>
      </c>
      <c r="O63" s="58">
        <f t="shared" si="20"/>
        <v>0.10670393580430342</v>
      </c>
      <c r="P63" s="58"/>
    </row>
    <row r="64" spans="1:16" ht="14.25" customHeight="1" x14ac:dyDescent="0.25">
      <c r="A64" s="20" t="s">
        <v>60</v>
      </c>
      <c r="B64" s="63">
        <v>11.596</v>
      </c>
      <c r="C64" s="58">
        <f t="shared" si="21"/>
        <v>6.9421553704181072E-2</v>
      </c>
      <c r="D64" s="20"/>
      <c r="E64" s="63">
        <v>5.5739999999999998</v>
      </c>
      <c r="F64" s="58">
        <f t="shared" si="17"/>
        <v>2.6199332739563267E-2</v>
      </c>
      <c r="G64" s="20"/>
      <c r="H64" s="63">
        <v>4.3390000000000004</v>
      </c>
      <c r="I64" s="58">
        <f t="shared" si="18"/>
        <v>1.1441202896272354E-2</v>
      </c>
      <c r="J64" s="20"/>
      <c r="K64" s="63">
        <v>4.3390000000000004</v>
      </c>
      <c r="L64" s="58">
        <f t="shared" si="19"/>
        <v>9.6194244001588346E-3</v>
      </c>
      <c r="M64" s="20"/>
      <c r="N64" s="131" t="s">
        <v>72</v>
      </c>
      <c r="O64" s="115" t="s">
        <v>95</v>
      </c>
      <c r="P64" s="115"/>
    </row>
    <row r="65" spans="1:17" ht="14.25" customHeight="1" x14ac:dyDescent="0.25">
      <c r="A65" s="319" t="s">
        <v>61</v>
      </c>
      <c r="B65" s="82">
        <f>B66+B67</f>
        <v>961.84699999999998</v>
      </c>
      <c r="C65" s="26">
        <f>C66+C67</f>
        <v>100</v>
      </c>
      <c r="D65" s="204"/>
      <c r="E65" s="82">
        <f>E66+E67</f>
        <v>975.798</v>
      </c>
      <c r="F65" s="26">
        <f>F66+F67</f>
        <v>100</v>
      </c>
      <c r="G65" s="204"/>
      <c r="H65" s="204">
        <f>H66+H67</f>
        <v>1460.4159999999999</v>
      </c>
      <c r="I65" s="26">
        <f>I66+I67</f>
        <v>99.999999999999986</v>
      </c>
      <c r="J65" s="20"/>
      <c r="K65" s="82">
        <f>K66+K67</f>
        <v>1223.3899999999999</v>
      </c>
      <c r="L65" s="26">
        <f>L66+L67</f>
        <v>100.00000000000001</v>
      </c>
      <c r="M65" s="20"/>
      <c r="N65" s="82">
        <f>N66+N67</f>
        <v>1640.5120000000002</v>
      </c>
      <c r="O65" s="162">
        <f>O66+O67</f>
        <v>100</v>
      </c>
      <c r="P65" s="162"/>
    </row>
    <row r="66" spans="1:17" ht="14.25" customHeight="1" x14ac:dyDescent="0.25">
      <c r="A66" s="20" t="s">
        <v>80</v>
      </c>
      <c r="B66" s="63">
        <v>287.608</v>
      </c>
      <c r="C66" s="58">
        <f>B66/$B$65*100</f>
        <v>29.901637162667242</v>
      </c>
      <c r="D66" s="20"/>
      <c r="E66" s="63">
        <v>282.08100000000002</v>
      </c>
      <c r="F66" s="58">
        <f>E66/$E$65*100</f>
        <v>28.907724754508617</v>
      </c>
      <c r="G66" s="20"/>
      <c r="H66" s="20">
        <v>321.00799999999998</v>
      </c>
      <c r="I66" s="58">
        <f>H66/$H$65*100</f>
        <v>21.980586353477367</v>
      </c>
      <c r="J66" s="20"/>
      <c r="K66" s="63">
        <v>315.23</v>
      </c>
      <c r="L66" s="58">
        <f>K66/$K$65*100</f>
        <v>25.766926327663302</v>
      </c>
      <c r="M66" s="20"/>
      <c r="N66" s="260">
        <f>308295/1000</f>
        <v>308.29500000000002</v>
      </c>
      <c r="O66" s="58">
        <f>N66/$N$65*100</f>
        <v>18.792608649007139</v>
      </c>
      <c r="P66" s="58"/>
    </row>
    <row r="67" spans="1:17" ht="9.75" customHeight="1" x14ac:dyDescent="0.25">
      <c r="A67" s="20" t="s">
        <v>130</v>
      </c>
      <c r="B67" s="63">
        <v>674.23900000000003</v>
      </c>
      <c r="C67" s="58">
        <f>B67/$B$65*100</f>
        <v>70.098362837332758</v>
      </c>
      <c r="D67" s="20"/>
      <c r="E67" s="63">
        <v>693.71699999999998</v>
      </c>
      <c r="F67" s="58">
        <f>E67/$E$65*100</f>
        <v>71.092275245491379</v>
      </c>
      <c r="G67" s="20"/>
      <c r="H67" s="20">
        <v>1139.4079999999999</v>
      </c>
      <c r="I67" s="58">
        <f>H67/$H$65*100</f>
        <v>78.019413646522622</v>
      </c>
      <c r="J67" s="20"/>
      <c r="K67" s="63">
        <v>908.16</v>
      </c>
      <c r="L67" s="58">
        <f>K67/$K$65*100</f>
        <v>74.233073672336715</v>
      </c>
      <c r="M67" s="20"/>
      <c r="N67" s="260">
        <f>1332217/1000</f>
        <v>1332.2170000000001</v>
      </c>
      <c r="O67" s="58">
        <f>N67/$N$65*100</f>
        <v>81.207391350992864</v>
      </c>
      <c r="P67" s="58"/>
    </row>
    <row r="68" spans="1:17" ht="4.5" customHeight="1" x14ac:dyDescent="0.25">
      <c r="A68" s="327"/>
      <c r="B68" s="328"/>
      <c r="C68" s="329"/>
      <c r="D68" s="328"/>
      <c r="E68" s="330"/>
      <c r="F68" s="331"/>
      <c r="G68" s="330"/>
      <c r="H68" s="332"/>
      <c r="I68" s="328"/>
      <c r="J68" s="328"/>
      <c r="K68" s="328"/>
      <c r="L68" s="328"/>
      <c r="M68" s="328"/>
      <c r="N68" s="328"/>
      <c r="O68" s="328"/>
      <c r="P68" s="328"/>
    </row>
    <row r="69" spans="1:17" ht="2.25" customHeight="1" x14ac:dyDescent="0.25">
      <c r="A69" s="204"/>
      <c r="B69" s="81"/>
      <c r="C69" s="200"/>
      <c r="D69" s="81"/>
      <c r="E69" s="63"/>
      <c r="F69" s="34"/>
      <c r="G69" s="63"/>
      <c r="H69" s="260"/>
      <c r="I69" s="81"/>
      <c r="J69" s="81"/>
      <c r="K69" s="81"/>
      <c r="L69" s="81"/>
      <c r="M69" s="81"/>
      <c r="N69" s="81"/>
      <c r="O69" s="81"/>
      <c r="P69" s="81"/>
    </row>
    <row r="70" spans="1:17" s="4" customFormat="1" ht="10.5" customHeight="1" x14ac:dyDescent="0.25">
      <c r="A70" s="20" t="s">
        <v>88</v>
      </c>
      <c r="B70" s="287"/>
      <c r="C70" s="288"/>
      <c r="D70" s="287"/>
      <c r="E70" s="289"/>
      <c r="F70" s="290"/>
      <c r="G70" s="289"/>
      <c r="H70" s="289"/>
      <c r="I70" s="287"/>
      <c r="J70" s="81"/>
      <c r="K70" s="81"/>
      <c r="L70" s="81"/>
      <c r="M70" s="81"/>
      <c r="N70" s="81"/>
      <c r="O70" s="81"/>
      <c r="P70" s="81"/>
    </row>
    <row r="71" spans="1:17" s="4" customFormat="1" ht="10.5" customHeight="1" x14ac:dyDescent="0.25">
      <c r="A71" s="292" t="s">
        <v>102</v>
      </c>
      <c r="B71" s="287"/>
      <c r="C71" s="288"/>
      <c r="D71" s="287"/>
      <c r="E71" s="289"/>
      <c r="F71" s="290"/>
      <c r="G71" s="289"/>
      <c r="H71" s="289"/>
      <c r="I71" s="287"/>
      <c r="J71" s="81"/>
      <c r="K71" s="81"/>
      <c r="L71" s="81"/>
      <c r="M71" s="81"/>
      <c r="N71" s="81"/>
      <c r="O71" s="81"/>
      <c r="P71" s="81"/>
    </row>
    <row r="72" spans="1:17" ht="12" customHeight="1" x14ac:dyDescent="0.25">
      <c r="A72" s="173"/>
      <c r="B72" s="173"/>
      <c r="C72" s="173"/>
      <c r="D72" s="173"/>
      <c r="E72" s="173"/>
      <c r="F72" s="173"/>
      <c r="G72" s="173"/>
      <c r="H72" s="201"/>
      <c r="I72" s="173"/>
      <c r="J72" s="173"/>
      <c r="K72" s="281"/>
      <c r="L72" s="173"/>
      <c r="M72" s="173"/>
      <c r="N72" s="173"/>
    </row>
    <row r="73" spans="1:17" ht="12" customHeight="1" x14ac:dyDescent="0.25">
      <c r="A73" s="173"/>
      <c r="B73" s="173"/>
      <c r="C73" s="173"/>
      <c r="D73" s="173"/>
      <c r="E73" s="173"/>
      <c r="F73" s="173"/>
      <c r="G73" s="173"/>
      <c r="H73" s="201"/>
      <c r="I73" s="173"/>
      <c r="J73" s="173"/>
      <c r="K73" s="281"/>
      <c r="L73" s="173"/>
      <c r="M73" s="173"/>
      <c r="N73" s="173"/>
      <c r="O73" s="201"/>
      <c r="P73" s="201"/>
    </row>
    <row r="74" spans="1:17" ht="12" customHeight="1" x14ac:dyDescent="0.25">
      <c r="A74" s="395" t="str">
        <f t="shared" ref="A74" si="22">$A$2</f>
        <v>Cuadro 1.6</v>
      </c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80"/>
    </row>
    <row r="75" spans="1:17" ht="27.75" customHeight="1" x14ac:dyDescent="0.25">
      <c r="A75" s="395" t="s">
        <v>129</v>
      </c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80"/>
    </row>
    <row r="76" spans="1:17" ht="2.25" customHeight="1" x14ac:dyDescent="0.25">
      <c r="A76" s="1"/>
      <c r="B76" s="1"/>
      <c r="C76" s="2"/>
      <c r="D76" s="2"/>
      <c r="E76" s="1"/>
      <c r="F76" s="1"/>
      <c r="G76" s="1"/>
      <c r="H76" s="1"/>
      <c r="I76" s="1"/>
      <c r="J76" s="282"/>
      <c r="K76" s="281"/>
      <c r="L76" s="282"/>
      <c r="M76" s="282"/>
      <c r="N76" s="282"/>
      <c r="O76" s="282"/>
      <c r="P76" s="282"/>
    </row>
    <row r="77" spans="1:17" ht="15.75" thickBot="1" x14ac:dyDescent="0.3">
      <c r="A77" s="400" t="s">
        <v>3</v>
      </c>
      <c r="B77" s="399">
        <v>2007</v>
      </c>
      <c r="C77" s="399"/>
      <c r="D77" s="323"/>
      <c r="E77" s="399">
        <v>2008</v>
      </c>
      <c r="F77" s="399"/>
      <c r="G77" s="381"/>
      <c r="H77" s="399">
        <v>2009</v>
      </c>
      <c r="I77" s="399"/>
      <c r="J77" s="323"/>
      <c r="K77" s="399">
        <v>2010</v>
      </c>
      <c r="L77" s="399"/>
      <c r="M77" s="323"/>
      <c r="N77" s="399">
        <v>2011</v>
      </c>
      <c r="O77" s="399"/>
      <c r="P77" s="381"/>
    </row>
    <row r="78" spans="1:17" ht="24" customHeight="1" x14ac:dyDescent="0.25">
      <c r="A78" s="400"/>
      <c r="B78" s="324" t="s">
        <v>93</v>
      </c>
      <c r="C78" s="325" t="s">
        <v>94</v>
      </c>
      <c r="D78" s="325"/>
      <c r="E78" s="324" t="s">
        <v>93</v>
      </c>
      <c r="F78" s="325" t="s">
        <v>94</v>
      </c>
      <c r="G78" s="325"/>
      <c r="H78" s="324" t="s">
        <v>93</v>
      </c>
      <c r="I78" s="325" t="s">
        <v>94</v>
      </c>
      <c r="J78" s="323"/>
      <c r="K78" s="326" t="s">
        <v>93</v>
      </c>
      <c r="L78" s="325" t="s">
        <v>94</v>
      </c>
      <c r="M78" s="323"/>
      <c r="N78" s="324" t="s">
        <v>93</v>
      </c>
      <c r="O78" s="325" t="s">
        <v>94</v>
      </c>
      <c r="P78" s="325"/>
    </row>
    <row r="79" spans="1:17" ht="13.5" customHeight="1" x14ac:dyDescent="0.25">
      <c r="A79" s="313" t="s">
        <v>6</v>
      </c>
      <c r="B79" s="314">
        <f>B80+B124+B130</f>
        <v>96368.5</v>
      </c>
      <c r="C79" s="315"/>
      <c r="D79" s="315"/>
      <c r="E79" s="314">
        <f>E80+E124+E130</f>
        <v>413852.77299999999</v>
      </c>
      <c r="F79" s="314"/>
      <c r="G79" s="314"/>
      <c r="H79" s="314">
        <f>H80+H124+H130</f>
        <v>111960.16100000001</v>
      </c>
      <c r="I79" s="314"/>
      <c r="J79" s="314"/>
      <c r="K79" s="314">
        <f>K80+K124+K130</f>
        <v>126420.34800000001</v>
      </c>
      <c r="L79" s="314"/>
      <c r="M79" s="314"/>
      <c r="N79" s="314">
        <f>N80+N124+N132</f>
        <v>133134.48499999999</v>
      </c>
      <c r="O79" s="314"/>
      <c r="P79" s="314"/>
      <c r="Q79" s="256"/>
    </row>
    <row r="80" spans="1:17" ht="13.5" customHeight="1" x14ac:dyDescent="0.25">
      <c r="A80" s="18" t="s">
        <v>7</v>
      </c>
      <c r="B80" s="136">
        <f t="shared" ref="B80:L80" si="23">B81+B85+B90+B93+B97+B106+B115+B120</f>
        <v>48181.877999999997</v>
      </c>
      <c r="C80" s="136">
        <f t="shared" si="23"/>
        <v>100.00000000000003</v>
      </c>
      <c r="D80" s="136"/>
      <c r="E80" s="136">
        <f t="shared" si="23"/>
        <v>58016.207000000002</v>
      </c>
      <c r="F80" s="136">
        <f t="shared" si="23"/>
        <v>100</v>
      </c>
      <c r="G80" s="136"/>
      <c r="H80" s="136">
        <f t="shared" si="23"/>
        <v>61379.25</v>
      </c>
      <c r="I80" s="136">
        <f t="shared" si="23"/>
        <v>99.999999999999972</v>
      </c>
      <c r="J80" s="136"/>
      <c r="K80" s="136">
        <f t="shared" si="23"/>
        <v>73674.27</v>
      </c>
      <c r="L80" s="136">
        <f t="shared" si="23"/>
        <v>99.999999999999986</v>
      </c>
      <c r="M80" s="136"/>
      <c r="N80" s="136">
        <f>N81+N85+N90+N93+N97+N106+N115+N120</f>
        <v>78141.785999999993</v>
      </c>
      <c r="O80" s="136">
        <f>O81+O85+O90+O93+O97+O106+O115+O120</f>
        <v>100.00000000000001</v>
      </c>
      <c r="P80" s="136"/>
      <c r="Q80" s="256"/>
    </row>
    <row r="81" spans="1:17" ht="13.5" customHeight="1" x14ac:dyDescent="0.25">
      <c r="A81" s="24" t="s">
        <v>8</v>
      </c>
      <c r="B81" s="243">
        <f>+B83+B82</f>
        <v>12336.411</v>
      </c>
      <c r="C81" s="272">
        <f>+C83+C82</f>
        <v>25.603840099383429</v>
      </c>
      <c r="D81" s="173"/>
      <c r="E81" s="243">
        <f>+E83+E82</f>
        <v>15881.438999999998</v>
      </c>
      <c r="F81" s="26">
        <f>+F83+F82</f>
        <v>27.374142194438871</v>
      </c>
      <c r="G81" s="26"/>
      <c r="H81" s="243">
        <f>+H83+H82</f>
        <v>14006.339</v>
      </c>
      <c r="I81" s="59">
        <f>+I83+I82</f>
        <v>22.819338783057791</v>
      </c>
      <c r="J81" s="173"/>
      <c r="K81" s="243">
        <f>+K83+K82</f>
        <v>14544.978000000001</v>
      </c>
      <c r="L81" s="59">
        <f>+L83+L82</f>
        <v>19.742276374099124</v>
      </c>
      <c r="M81" s="173"/>
      <c r="N81" s="243">
        <f>+N83+N82</f>
        <v>14064.593999999999</v>
      </c>
      <c r="O81" s="272">
        <f>+O83+O82</f>
        <v>17.998813080622448</v>
      </c>
      <c r="P81" s="272"/>
      <c r="Q81" s="256"/>
    </row>
    <row r="82" spans="1:17" ht="13.5" customHeight="1" x14ac:dyDescent="0.25">
      <c r="A82" s="30" t="s">
        <v>9</v>
      </c>
      <c r="B82" s="152">
        <f>12041608/1000</f>
        <v>12041.608</v>
      </c>
      <c r="C82" s="138">
        <f>B82/$B$80*100</f>
        <v>24.991985575987723</v>
      </c>
      <c r="D82" s="173"/>
      <c r="E82" s="156">
        <f>15449898/1000</f>
        <v>15449.897999999999</v>
      </c>
      <c r="F82" s="58">
        <f>+(E82/E80)*100</f>
        <v>26.63031383626992</v>
      </c>
      <c r="G82" s="58"/>
      <c r="H82" s="156">
        <f>13540321/1000</f>
        <v>13540.321</v>
      </c>
      <c r="I82" s="138">
        <f>+(H82/H80)*100</f>
        <v>22.060095227621712</v>
      </c>
      <c r="J82" s="173"/>
      <c r="K82" s="156">
        <f>14028760/1000</f>
        <v>14028.76</v>
      </c>
      <c r="L82" s="58">
        <f>K82/$K$80*100</f>
        <v>19.041600276460152</v>
      </c>
      <c r="M82" s="173"/>
      <c r="N82" s="156">
        <f>13516112/1000</f>
        <v>13516.111999999999</v>
      </c>
      <c r="O82" s="138">
        <f>N82/$N$80*100</f>
        <v>17.296906932738906</v>
      </c>
      <c r="P82" s="138"/>
      <c r="Q82" s="256"/>
    </row>
    <row r="83" spans="1:17" ht="13.5" customHeight="1" x14ac:dyDescent="0.25">
      <c r="A83" s="30" t="s">
        <v>10</v>
      </c>
      <c r="B83" s="152">
        <f>294803/1000</f>
        <v>294.803</v>
      </c>
      <c r="C83" s="138">
        <f>B83/$B$80*100</f>
        <v>0.6118545233957049</v>
      </c>
      <c r="D83" s="173"/>
      <c r="E83" s="156">
        <f>431541/1000</f>
        <v>431.541</v>
      </c>
      <c r="F83" s="58">
        <f>E83/$E$80*100</f>
        <v>0.74382835816895099</v>
      </c>
      <c r="G83" s="58"/>
      <c r="H83" s="156">
        <f>466018/1000</f>
        <v>466.01799999999997</v>
      </c>
      <c r="I83" s="138">
        <f>H83/$H$80*100</f>
        <v>0.7592435554360798</v>
      </c>
      <c r="J83" s="173"/>
      <c r="K83" s="156">
        <f>516218/1000</f>
        <v>516.21799999999996</v>
      </c>
      <c r="L83" s="58">
        <f>K83/$K$80*100</f>
        <v>0.7006760976389721</v>
      </c>
      <c r="M83" s="173"/>
      <c r="N83" s="156">
        <f>548482/1000</f>
        <v>548.48199999999997</v>
      </c>
      <c r="O83" s="138">
        <f>N83/$N$80*100</f>
        <v>0.70190614788354089</v>
      </c>
      <c r="P83" s="138"/>
      <c r="Q83" s="256"/>
    </row>
    <row r="84" spans="1:17" ht="13.5" customHeight="1" x14ac:dyDescent="0.25">
      <c r="A84" s="20"/>
      <c r="B84" s="139"/>
      <c r="C84" s="139"/>
      <c r="D84" s="173"/>
      <c r="E84" s="156"/>
      <c r="F84" s="58"/>
      <c r="G84" s="99"/>
      <c r="H84" s="156"/>
      <c r="I84" s="58"/>
      <c r="J84" s="173"/>
      <c r="K84" s="115"/>
      <c r="L84" s="58"/>
      <c r="M84" s="173"/>
      <c r="N84" s="136"/>
      <c r="O84" s="243"/>
      <c r="P84" s="243"/>
      <c r="Q84" s="256"/>
    </row>
    <row r="85" spans="1:17" ht="22.5" customHeight="1" x14ac:dyDescent="0.25">
      <c r="A85" s="37" t="s">
        <v>11</v>
      </c>
      <c r="B85" s="154">
        <f>B86+B87+B88+B89</f>
        <v>10956.714</v>
      </c>
      <c r="C85" s="142">
        <f>C86+C87+C88+C89</f>
        <v>22.740321578996987</v>
      </c>
      <c r="D85" s="173"/>
      <c r="E85" s="154">
        <f>E86+E87+E88+E89</f>
        <v>13796.809999999998</v>
      </c>
      <c r="F85" s="59">
        <f>F86+F87+F88+F89</f>
        <v>23.780958310494171</v>
      </c>
      <c r="G85" s="181"/>
      <c r="H85" s="154">
        <f>H86+H87+H88+H89</f>
        <v>14824.279999999999</v>
      </c>
      <c r="I85" s="59">
        <f>I86+I87+I88+I89</f>
        <v>24.151940598818001</v>
      </c>
      <c r="J85" s="173"/>
      <c r="K85" s="154">
        <f>K86+K87+K88+K89</f>
        <v>16007.439</v>
      </c>
      <c r="L85" s="59">
        <f>L86+L87+L88+L89</f>
        <v>21.72731266967423</v>
      </c>
      <c r="M85" s="173"/>
      <c r="N85" s="243">
        <f>N86+N87+N88+N89</f>
        <v>17651.309000000001</v>
      </c>
      <c r="O85" s="272">
        <f>O86+O87+O88+O89</f>
        <v>22.588822067619496</v>
      </c>
      <c r="P85" s="272"/>
      <c r="Q85" s="256"/>
    </row>
    <row r="86" spans="1:17" ht="13.5" customHeight="1" x14ac:dyDescent="0.25">
      <c r="A86" s="30" t="s">
        <v>12</v>
      </c>
      <c r="B86" s="152">
        <f>4832912/1000</f>
        <v>4832.9120000000003</v>
      </c>
      <c r="C86" s="138">
        <f t="shared" ref="C86:C95" si="24">B86/$B$80*100</f>
        <v>10.0305596224373</v>
      </c>
      <c r="D86" s="173"/>
      <c r="E86" s="152">
        <f>6270501/1000</f>
        <v>6270.5010000000002</v>
      </c>
      <c r="F86" s="58">
        <f>E86/$E$80*100</f>
        <v>10.808188477402531</v>
      </c>
      <c r="G86" s="58"/>
      <c r="H86" s="156">
        <f>7074248/1000</f>
        <v>7074.2479999999996</v>
      </c>
      <c r="I86" s="58">
        <f>H86/$H$80*100</f>
        <v>11.525471555941136</v>
      </c>
      <c r="J86" s="173"/>
      <c r="K86" s="156">
        <f>7172108/1000</f>
        <v>7172.1080000000002</v>
      </c>
      <c r="L86" s="58">
        <f>K86/$K$80*100</f>
        <v>9.7348884488438099</v>
      </c>
      <c r="M86" s="173"/>
      <c r="N86" s="156">
        <f>6813908/1000</f>
        <v>6813.9080000000004</v>
      </c>
      <c r="O86" s="58">
        <f>N86/$N$80*100</f>
        <v>8.7199286691502049</v>
      </c>
      <c r="P86" s="58"/>
      <c r="Q86" s="256"/>
    </row>
    <row r="87" spans="1:17" ht="13.5" customHeight="1" x14ac:dyDescent="0.25">
      <c r="A87" s="20" t="s">
        <v>131</v>
      </c>
      <c r="B87" s="152">
        <f>1020107/1000</f>
        <v>1020.107</v>
      </c>
      <c r="C87" s="138">
        <f t="shared" si="24"/>
        <v>2.1172005790226773</v>
      </c>
      <c r="D87" s="173"/>
      <c r="E87" s="156">
        <f>690266/1000</f>
        <v>690.26599999999996</v>
      </c>
      <c r="F87" s="58">
        <f>E87/$E$80*100</f>
        <v>1.1897813312752417</v>
      </c>
      <c r="G87" s="58"/>
      <c r="H87" s="156">
        <f>890279/1000</f>
        <v>890.279</v>
      </c>
      <c r="I87" s="58">
        <f>H87/$H$80*100</f>
        <v>1.450455976571887</v>
      </c>
      <c r="J87" s="173"/>
      <c r="K87" s="156">
        <f>487305/1000</f>
        <v>487.30500000000001</v>
      </c>
      <c r="L87" s="58">
        <f t="shared" ref="L87:L89" si="25">K87/$K$80*100</f>
        <v>0.66143173186514093</v>
      </c>
      <c r="M87" s="173"/>
      <c r="N87" s="156">
        <f>630000/1000</f>
        <v>630</v>
      </c>
      <c r="O87" s="58">
        <f t="shared" ref="O87:O89" si="26">N87/$N$80*100</f>
        <v>0.80622677347047078</v>
      </c>
      <c r="P87" s="58"/>
      <c r="Q87" s="256"/>
    </row>
    <row r="88" spans="1:17" ht="13.5" customHeight="1" x14ac:dyDescent="0.25">
      <c r="A88" s="20" t="s">
        <v>110</v>
      </c>
      <c r="B88" s="152">
        <f>3449516/1000</f>
        <v>3449.5160000000001</v>
      </c>
      <c r="C88" s="138">
        <f t="shared" si="24"/>
        <v>7.1593639417708053</v>
      </c>
      <c r="D88" s="173"/>
      <c r="E88" s="156">
        <f>3312298/1000</f>
        <v>3312.2979999999998</v>
      </c>
      <c r="F88" s="58">
        <f>E88/$E$80*100</f>
        <v>5.7092632753464896</v>
      </c>
      <c r="G88" s="58"/>
      <c r="H88" s="156">
        <f>3377669/1000</f>
        <v>3377.6689999999999</v>
      </c>
      <c r="I88" s="58">
        <f>H88/$H$80*100</f>
        <v>5.5029492866074445</v>
      </c>
      <c r="J88" s="173"/>
      <c r="K88" s="156">
        <f>2610242/1000</f>
        <v>2610.2420000000002</v>
      </c>
      <c r="L88" s="58">
        <f t="shared" si="25"/>
        <v>3.5429492548755483</v>
      </c>
      <c r="M88" s="173"/>
      <c r="N88" s="156">
        <f>4364624/1000</f>
        <v>4364.6239999999998</v>
      </c>
      <c r="O88" s="58">
        <f t="shared" si="26"/>
        <v>5.5855186110028248</v>
      </c>
      <c r="P88" s="58"/>
      <c r="Q88" s="256"/>
    </row>
    <row r="89" spans="1:17" ht="13.5" customHeight="1" x14ac:dyDescent="0.25">
      <c r="A89" s="20" t="s">
        <v>15</v>
      </c>
      <c r="B89" s="152">
        <f>1654179/1000</f>
        <v>1654.1790000000001</v>
      </c>
      <c r="C89" s="138">
        <f t="shared" si="24"/>
        <v>3.4331974357662025</v>
      </c>
      <c r="D89" s="173"/>
      <c r="E89" s="156">
        <f>3523745/1000</f>
        <v>3523.7449999999999</v>
      </c>
      <c r="F89" s="58">
        <f>E89/$E$80*100</f>
        <v>6.0737252264699064</v>
      </c>
      <c r="G89" s="58"/>
      <c r="H89" s="156">
        <f>3482084/1000</f>
        <v>3482.0839999999998</v>
      </c>
      <c r="I89" s="58">
        <f>H89/$H$80*100</f>
        <v>5.6730637796975358</v>
      </c>
      <c r="J89" s="173"/>
      <c r="K89" s="156">
        <f>5737784/1000</f>
        <v>5737.7839999999997</v>
      </c>
      <c r="L89" s="58">
        <f t="shared" si="25"/>
        <v>7.7880432340897299</v>
      </c>
      <c r="M89" s="173"/>
      <c r="N89" s="156">
        <f>5842777/1000</f>
        <v>5842.777</v>
      </c>
      <c r="O89" s="58">
        <f t="shared" si="26"/>
        <v>7.4771480139959952</v>
      </c>
      <c r="P89" s="58"/>
      <c r="Q89" s="256"/>
    </row>
    <row r="90" spans="1:17" ht="26.25" customHeight="1" x14ac:dyDescent="0.25">
      <c r="A90" s="18" t="s">
        <v>16</v>
      </c>
      <c r="B90" s="243">
        <f>+B91</f>
        <v>66.997</v>
      </c>
      <c r="C90" s="272">
        <f>+C91</f>
        <v>0.1390502047263496</v>
      </c>
      <c r="D90" s="279"/>
      <c r="E90" s="243">
        <f>+E91</f>
        <v>73</v>
      </c>
      <c r="F90" s="59">
        <f>+F91</f>
        <v>0.1258269090221634</v>
      </c>
      <c r="G90" s="181"/>
      <c r="H90" s="243">
        <f>+H91</f>
        <v>73.972999999999999</v>
      </c>
      <c r="I90" s="59">
        <f>+I91</f>
        <v>0.1205179274754905</v>
      </c>
      <c r="J90" s="279"/>
      <c r="K90" s="243">
        <f>+K91</f>
        <v>111.123</v>
      </c>
      <c r="L90" s="59">
        <f>+L91</f>
        <v>0.15083013377669027</v>
      </c>
      <c r="M90" s="279"/>
      <c r="N90" s="243">
        <f>+N91</f>
        <v>141.38999999999999</v>
      </c>
      <c r="O90" s="272">
        <f>+O91</f>
        <v>0.18094032301744423</v>
      </c>
      <c r="P90" s="272"/>
      <c r="Q90" s="256"/>
    </row>
    <row r="91" spans="1:17" ht="13.5" customHeight="1" x14ac:dyDescent="0.25">
      <c r="A91" s="167" t="s">
        <v>132</v>
      </c>
      <c r="B91" s="177">
        <f>66997/1000</f>
        <v>66.997</v>
      </c>
      <c r="C91" s="273">
        <f t="shared" si="24"/>
        <v>0.1390502047263496</v>
      </c>
      <c r="D91" s="173"/>
      <c r="E91" s="177">
        <f>73000/1000</f>
        <v>73</v>
      </c>
      <c r="F91" s="58">
        <f>E91/$E$80*100</f>
        <v>0.1258269090221634</v>
      </c>
      <c r="G91" s="63"/>
      <c r="H91" s="177">
        <f>73973/1000</f>
        <v>73.972999999999999</v>
      </c>
      <c r="I91" s="58">
        <f>H91/$H$80*100</f>
        <v>0.1205179274754905</v>
      </c>
      <c r="J91" s="173"/>
      <c r="K91" s="177">
        <f>111123/1000</f>
        <v>111.123</v>
      </c>
      <c r="L91" s="107">
        <f>K91/$K$80*100</f>
        <v>0.15083013377669027</v>
      </c>
      <c r="M91" s="173"/>
      <c r="N91" s="156">
        <f>141390/1000</f>
        <v>141.38999999999999</v>
      </c>
      <c r="O91" s="273">
        <f>N91/$N$80*100</f>
        <v>0.18094032301744423</v>
      </c>
      <c r="P91" s="273"/>
      <c r="Q91" s="256"/>
    </row>
    <row r="92" spans="1:17" ht="13.5" customHeight="1" x14ac:dyDescent="0.25">
      <c r="A92" s="20" t="s">
        <v>18</v>
      </c>
      <c r="B92" s="152" t="s">
        <v>72</v>
      </c>
      <c r="C92" s="138">
        <v>0</v>
      </c>
      <c r="D92" s="173"/>
      <c r="E92" s="152" t="s">
        <v>72</v>
      </c>
      <c r="F92" s="58">
        <v>0</v>
      </c>
      <c r="G92" s="58"/>
      <c r="H92" s="156" t="s">
        <v>72</v>
      </c>
      <c r="I92" s="58">
        <v>0</v>
      </c>
      <c r="J92" s="173"/>
      <c r="K92" s="115" t="s">
        <v>72</v>
      </c>
      <c r="L92" s="58">
        <v>0</v>
      </c>
      <c r="M92" s="283"/>
      <c r="N92" s="156" t="s">
        <v>72</v>
      </c>
      <c r="O92" s="58">
        <v>0</v>
      </c>
      <c r="P92" s="58"/>
      <c r="Q92" s="256"/>
    </row>
    <row r="93" spans="1:17" ht="21" customHeight="1" x14ac:dyDescent="0.25">
      <c r="A93" s="18" t="s">
        <v>21</v>
      </c>
      <c r="B93" s="154">
        <f>+B94+B95</f>
        <v>1681.4089999999999</v>
      </c>
      <c r="C93" s="272">
        <f t="shared" si="24"/>
        <v>3.4897124599418889</v>
      </c>
      <c r="D93" s="173"/>
      <c r="E93" s="154">
        <f>+E94+E95</f>
        <v>1391.0609999999999</v>
      </c>
      <c r="F93" s="26">
        <f>E93/$E$80*100</f>
        <v>2.3977110396065706</v>
      </c>
      <c r="G93" s="82"/>
      <c r="H93" s="154">
        <f>+H94+H95</f>
        <v>1913.3510000000001</v>
      </c>
      <c r="I93" s="26">
        <f>H93/$H$80*100</f>
        <v>3.1172603119132281</v>
      </c>
      <c r="J93" s="173"/>
      <c r="K93" s="154">
        <f>+K94+K95</f>
        <v>2135.2089999999998</v>
      </c>
      <c r="L93" s="127">
        <f t="shared" ref="L93:L121" si="27">K93/$K$80*100</f>
        <v>2.8981746273156146</v>
      </c>
      <c r="M93" s="283"/>
      <c r="N93" s="243">
        <f>+N94+N95</f>
        <v>2449.3409999999999</v>
      </c>
      <c r="O93" s="26">
        <f>N93/$N$80*100</f>
        <v>3.1344830024745023</v>
      </c>
      <c r="P93" s="26"/>
      <c r="Q93" s="256"/>
    </row>
    <row r="94" spans="1:17" ht="13.5" customHeight="1" x14ac:dyDescent="0.25">
      <c r="A94" s="20" t="s">
        <v>22</v>
      </c>
      <c r="B94" s="152">
        <f>1234156/1000</f>
        <v>1234.1559999999999</v>
      </c>
      <c r="C94" s="138">
        <f t="shared" si="24"/>
        <v>2.5614526689889505</v>
      </c>
      <c r="D94" s="173"/>
      <c r="E94" s="156">
        <f>922353/1000</f>
        <v>922.35299999999995</v>
      </c>
      <c r="F94" s="58">
        <f>E94/$E$80*100</f>
        <v>1.5898195481824589</v>
      </c>
      <c r="G94" s="58"/>
      <c r="H94" s="156">
        <f>1318040/1000</f>
        <v>1318.04</v>
      </c>
      <c r="I94" s="58">
        <f>H94/$H$80*100</f>
        <v>2.1473706505048531</v>
      </c>
      <c r="J94" s="173"/>
      <c r="K94" s="156">
        <f>1572369/1000</f>
        <v>1572.3689999999999</v>
      </c>
      <c r="L94" s="58">
        <f t="shared" si="27"/>
        <v>2.1342172782981086</v>
      </c>
      <c r="M94" s="173"/>
      <c r="N94" s="156">
        <f>1904012/1000</f>
        <v>1904.0119999999999</v>
      </c>
      <c r="O94" s="58">
        <f>N94/$N$80*100</f>
        <v>2.4366118276334254</v>
      </c>
      <c r="P94" s="58"/>
      <c r="Q94" s="256"/>
    </row>
    <row r="95" spans="1:17" ht="13.5" customHeight="1" x14ac:dyDescent="0.25">
      <c r="A95" s="20" t="s">
        <v>23</v>
      </c>
      <c r="B95" s="152">
        <f>447253/1000</f>
        <v>447.25299999999999</v>
      </c>
      <c r="C95" s="138">
        <f t="shared" si="24"/>
        <v>0.92825979095293876</v>
      </c>
      <c r="D95" s="173"/>
      <c r="E95" s="156">
        <f>468708/1000</f>
        <v>468.70800000000003</v>
      </c>
      <c r="F95" s="58">
        <f>E95/$E$80*100</f>
        <v>0.80789149142411198</v>
      </c>
      <c r="G95" s="58"/>
      <c r="H95" s="156">
        <f>595311/1000</f>
        <v>595.31100000000004</v>
      </c>
      <c r="I95" s="58">
        <f>H95/$H$80*100</f>
        <v>0.96988966140837507</v>
      </c>
      <c r="J95" s="173"/>
      <c r="K95" s="156">
        <f>562840/1000</f>
        <v>562.84</v>
      </c>
      <c r="L95" s="58">
        <f t="shared" si="27"/>
        <v>0.76395734901750645</v>
      </c>
      <c r="M95" s="173"/>
      <c r="N95" s="156">
        <f>545329/1000</f>
        <v>545.32899999999995</v>
      </c>
      <c r="O95" s="58">
        <f>N95/$N$80*100</f>
        <v>0.69787117484107664</v>
      </c>
      <c r="P95" s="58"/>
      <c r="Q95" s="256"/>
    </row>
    <row r="96" spans="1:17" ht="13.5" customHeight="1" x14ac:dyDescent="0.25">
      <c r="A96" s="20" t="s">
        <v>24</v>
      </c>
      <c r="B96" s="152" t="s">
        <v>72</v>
      </c>
      <c r="C96" s="138">
        <v>0</v>
      </c>
      <c r="D96" s="173"/>
      <c r="E96" s="152" t="s">
        <v>72</v>
      </c>
      <c r="F96" s="58">
        <v>0</v>
      </c>
      <c r="G96" s="58"/>
      <c r="H96" s="152" t="s">
        <v>72</v>
      </c>
      <c r="I96" s="58">
        <v>0</v>
      </c>
      <c r="J96" s="173"/>
      <c r="K96" s="156" t="s">
        <v>72</v>
      </c>
      <c r="L96" s="58">
        <v>0</v>
      </c>
      <c r="M96" s="58"/>
      <c r="N96" s="156" t="s">
        <v>72</v>
      </c>
      <c r="O96" s="58">
        <v>0</v>
      </c>
      <c r="P96" s="58"/>
      <c r="Q96" s="256"/>
    </row>
    <row r="97" spans="1:17" s="166" customFormat="1" ht="25.5" customHeight="1" x14ac:dyDescent="0.25">
      <c r="A97" s="104" t="s">
        <v>25</v>
      </c>
      <c r="B97" s="154">
        <f>+SUM(B98:B105)</f>
        <v>4987.72</v>
      </c>
      <c r="C97" s="142">
        <f>+SUM(C98:C105)</f>
        <v>10.351858846182791</v>
      </c>
      <c r="D97" s="173"/>
      <c r="E97" s="154">
        <f>+SUM(E98:E105)</f>
        <v>6145.4920000000002</v>
      </c>
      <c r="F97" s="59">
        <f>+SUM(F98:F105)</f>
        <v>10.592715928499084</v>
      </c>
      <c r="G97" s="181"/>
      <c r="H97" s="243">
        <f>+SUM(H98:H105)</f>
        <v>5545.29</v>
      </c>
      <c r="I97" s="59">
        <f>+SUM(I98:I105)</f>
        <v>9.0344701181588238</v>
      </c>
      <c r="J97" s="173"/>
      <c r="K97" s="154">
        <f>+SUM(K98:K105)</f>
        <v>7146.8060000000005</v>
      </c>
      <c r="L97" s="127">
        <f>+SUM(L98:L105)</f>
        <v>9.7005453871480505</v>
      </c>
      <c r="M97" s="173"/>
      <c r="N97" s="243">
        <f>+SUM(N98:N105)</f>
        <v>8353.0789999999997</v>
      </c>
      <c r="O97" s="59">
        <f>+SUM(O98:O105)</f>
        <v>10.689644334466584</v>
      </c>
      <c r="P97" s="59"/>
      <c r="Q97" s="256"/>
    </row>
    <row r="98" spans="1:17" s="166" customFormat="1" ht="13.5" customHeight="1" x14ac:dyDescent="0.25">
      <c r="A98" s="105" t="s">
        <v>133</v>
      </c>
      <c r="B98" s="153">
        <f>780726/1000</f>
        <v>780.726</v>
      </c>
      <c r="C98" s="140">
        <f t="shared" ref="C98:C105" si="28">B98/$B$80*100</f>
        <v>1.620372705273132</v>
      </c>
      <c r="D98" s="173"/>
      <c r="E98" s="153">
        <f>691373/1000</f>
        <v>691.37300000000005</v>
      </c>
      <c r="F98" s="107">
        <f t="shared" ref="F98:F104" si="29">E98/$E$80*100</f>
        <v>1.1916894187860299</v>
      </c>
      <c r="G98" s="274"/>
      <c r="H98" s="177">
        <f>672982/1000</f>
        <v>672.98199999999997</v>
      </c>
      <c r="I98" s="107">
        <f t="shared" ref="I98:I104" si="30">H98/$H$80*100</f>
        <v>1.0964324262678347</v>
      </c>
      <c r="J98" s="173"/>
      <c r="K98" s="156">
        <f>927707/1000</f>
        <v>927.70699999999999</v>
      </c>
      <c r="L98" s="258">
        <f t="shared" si="27"/>
        <v>1.2592008037541462</v>
      </c>
      <c r="M98" s="173"/>
      <c r="N98" s="156">
        <f>1091556/1000</f>
        <v>1091.556</v>
      </c>
      <c r="O98" s="58">
        <f t="shared" ref="O98:O104" si="31">N98/$N$80*100</f>
        <v>1.3968915427656083</v>
      </c>
      <c r="P98" s="58"/>
      <c r="Q98" s="256"/>
    </row>
    <row r="99" spans="1:17" s="166" customFormat="1" ht="13.5" customHeight="1" x14ac:dyDescent="0.25">
      <c r="A99" s="105" t="s">
        <v>27</v>
      </c>
      <c r="B99" s="153">
        <f>315083/1000</f>
        <v>315.08300000000003</v>
      </c>
      <c r="C99" s="140">
        <f t="shared" si="28"/>
        <v>0.65394503717767094</v>
      </c>
      <c r="D99" s="173"/>
      <c r="E99" s="153">
        <f>531644/1000</f>
        <v>531.64400000000001</v>
      </c>
      <c r="F99" s="107">
        <f t="shared" si="29"/>
        <v>0.91637152356409646</v>
      </c>
      <c r="G99" s="274"/>
      <c r="H99" s="177">
        <f>446719/1000</f>
        <v>446.71899999999999</v>
      </c>
      <c r="I99" s="107">
        <f t="shared" si="30"/>
        <v>0.72780133351254694</v>
      </c>
      <c r="J99" s="173"/>
      <c r="K99" s="156">
        <f>560586/1000</f>
        <v>560.58600000000001</v>
      </c>
      <c r="L99" s="258">
        <f t="shared" si="27"/>
        <v>0.76089793628087532</v>
      </c>
      <c r="M99" s="173"/>
      <c r="N99" s="156">
        <f>538667/1000</f>
        <v>538.66700000000003</v>
      </c>
      <c r="O99" s="58">
        <f t="shared" si="31"/>
        <v>0.68934564664288589</v>
      </c>
      <c r="P99" s="58"/>
      <c r="Q99" s="256"/>
    </row>
    <row r="100" spans="1:17" s="166" customFormat="1" ht="13.5" customHeight="1" x14ac:dyDescent="0.25">
      <c r="A100" s="105" t="s">
        <v>28</v>
      </c>
      <c r="B100" s="153">
        <f>1227351/1000</f>
        <v>1227.3510000000001</v>
      </c>
      <c r="C100" s="140">
        <f t="shared" si="28"/>
        <v>2.5473291016178328</v>
      </c>
      <c r="D100" s="173"/>
      <c r="E100" s="153">
        <f>2074090/1000</f>
        <v>2074.09</v>
      </c>
      <c r="F100" s="107">
        <f t="shared" si="29"/>
        <v>3.5750182703257387</v>
      </c>
      <c r="G100" s="274"/>
      <c r="H100" s="177">
        <f>2054652/1000</f>
        <v>2054.652</v>
      </c>
      <c r="I100" s="107">
        <f t="shared" si="30"/>
        <v>3.347470032625032</v>
      </c>
      <c r="J100" s="173"/>
      <c r="K100" s="156">
        <f>2083057/1000</f>
        <v>2083.0569999999998</v>
      </c>
      <c r="L100" s="258">
        <f t="shared" si="27"/>
        <v>2.8273873633223645</v>
      </c>
      <c r="M100" s="173"/>
      <c r="N100" s="156">
        <f>3183072/1000</f>
        <v>3183.0720000000001</v>
      </c>
      <c r="O100" s="58">
        <f>N100/$N$80*100</f>
        <v>4.073456933784442</v>
      </c>
      <c r="P100" s="58"/>
      <c r="Q100" s="256"/>
    </row>
    <row r="101" spans="1:17" s="166" customFormat="1" ht="13.5" customHeight="1" x14ac:dyDescent="0.25">
      <c r="A101" s="105" t="s">
        <v>134</v>
      </c>
      <c r="B101" s="153">
        <f>606143/1000</f>
        <v>606.14300000000003</v>
      </c>
      <c r="C101" s="140">
        <f t="shared" si="28"/>
        <v>1.2580310796519805</v>
      </c>
      <c r="D101" s="173"/>
      <c r="E101" s="153">
        <f>751964/1000</f>
        <v>751.96400000000006</v>
      </c>
      <c r="F101" s="107">
        <f t="shared" si="29"/>
        <v>1.2961274769307136</v>
      </c>
      <c r="G101" s="274"/>
      <c r="H101" s="177">
        <f>807439/1000</f>
        <v>807.43899999999996</v>
      </c>
      <c r="I101" s="107">
        <f t="shared" si="30"/>
        <v>1.3154917989385662</v>
      </c>
      <c r="J101" s="173"/>
      <c r="K101" s="156">
        <f>902119/1000</f>
        <v>902.11900000000003</v>
      </c>
      <c r="L101" s="258">
        <f t="shared" si="27"/>
        <v>1.2244695468309357</v>
      </c>
      <c r="M101" s="173"/>
      <c r="N101" s="156">
        <f>905995/1000</f>
        <v>905.995</v>
      </c>
      <c r="O101" s="58">
        <f>N101/$N$80*100</f>
        <v>1.1594244851275861</v>
      </c>
      <c r="P101" s="58"/>
      <c r="Q101" s="256"/>
    </row>
    <row r="102" spans="1:17" s="166" customFormat="1" ht="13.5" customHeight="1" x14ac:dyDescent="0.25">
      <c r="A102" s="105" t="s">
        <v>135</v>
      </c>
      <c r="B102" s="153">
        <f>501291/1000</f>
        <v>501.291</v>
      </c>
      <c r="C102" s="140">
        <f t="shared" si="28"/>
        <v>1.0404139913350825</v>
      </c>
      <c r="D102" s="173"/>
      <c r="E102" s="153">
        <f>696615/1000</f>
        <v>696.61500000000001</v>
      </c>
      <c r="F102" s="107">
        <f t="shared" si="29"/>
        <v>1.2007248250475939</v>
      </c>
      <c r="G102" s="274"/>
      <c r="H102" s="177">
        <f>713474/1000</f>
        <v>713.47400000000005</v>
      </c>
      <c r="I102" s="107">
        <f t="shared" si="30"/>
        <v>1.1624026034857058</v>
      </c>
      <c r="J102" s="173"/>
      <c r="K102" s="156">
        <f>714212/1000</f>
        <v>714.21199999999999</v>
      </c>
      <c r="L102" s="258">
        <f t="shared" si="27"/>
        <v>0.96941849576521089</v>
      </c>
      <c r="M102" s="173"/>
      <c r="N102" s="156">
        <f>753482/1000</f>
        <v>753.48199999999997</v>
      </c>
      <c r="O102" s="58">
        <f t="shared" si="31"/>
        <v>0.9642497805207576</v>
      </c>
      <c r="P102" s="58"/>
      <c r="Q102" s="256"/>
    </row>
    <row r="103" spans="1:17" s="166" customFormat="1" ht="13.5" customHeight="1" x14ac:dyDescent="0.25">
      <c r="A103" s="105" t="s">
        <v>136</v>
      </c>
      <c r="B103" s="153">
        <f>1261239/1000</f>
        <v>1261.239</v>
      </c>
      <c r="C103" s="140">
        <f t="shared" si="28"/>
        <v>2.6176625992037921</v>
      </c>
      <c r="D103" s="173"/>
      <c r="E103" s="153">
        <f>1176238/1000</f>
        <v>1176.2380000000001</v>
      </c>
      <c r="F103" s="107">
        <f t="shared" si="29"/>
        <v>2.0274300248549513</v>
      </c>
      <c r="G103" s="274"/>
      <c r="H103" s="177">
        <f>816143/1000</f>
        <v>816.14300000000003</v>
      </c>
      <c r="I103" s="107">
        <f t="shared" si="30"/>
        <v>1.3296724870375576</v>
      </c>
      <c r="J103" s="173"/>
      <c r="K103" s="156">
        <f>1728119/1000</f>
        <v>1728.1189999999999</v>
      </c>
      <c r="L103" s="258">
        <f t="shared" si="27"/>
        <v>2.3456207981429609</v>
      </c>
      <c r="M103" s="173"/>
      <c r="N103" s="156">
        <f>1538170/1000</f>
        <v>1538.17</v>
      </c>
      <c r="O103" s="58">
        <f t="shared" si="31"/>
        <v>1.9684346605540859</v>
      </c>
      <c r="P103" s="58"/>
      <c r="Q103" s="256"/>
    </row>
    <row r="104" spans="1:17" s="166" customFormat="1" ht="13.5" customHeight="1" x14ac:dyDescent="0.25">
      <c r="A104" s="105" t="s">
        <v>32</v>
      </c>
      <c r="B104" s="153">
        <f>282257/1000</f>
        <v>282.25700000000001</v>
      </c>
      <c r="C104" s="140">
        <f t="shared" si="28"/>
        <v>0.58581568779863669</v>
      </c>
      <c r="D104" s="173"/>
      <c r="E104" s="153">
        <f>223568/1000</f>
        <v>223.56800000000001</v>
      </c>
      <c r="F104" s="107">
        <f t="shared" si="29"/>
        <v>0.38535438898995933</v>
      </c>
      <c r="G104" s="274"/>
      <c r="H104" s="177">
        <f>33881/1000</f>
        <v>33.881</v>
      </c>
      <c r="I104" s="107">
        <f t="shared" si="30"/>
        <v>5.5199436291580625E-2</v>
      </c>
      <c r="J104" s="173"/>
      <c r="K104" s="156">
        <f>231006/1000</f>
        <v>231.006</v>
      </c>
      <c r="L104" s="258">
        <f t="shared" si="27"/>
        <v>0.31355044305155655</v>
      </c>
      <c r="M104" s="173"/>
      <c r="N104" s="156">
        <f>342137/1000</f>
        <v>342.137</v>
      </c>
      <c r="O104" s="58">
        <f t="shared" si="31"/>
        <v>0.43784128507121667</v>
      </c>
      <c r="P104" s="58"/>
      <c r="Q104" s="256"/>
    </row>
    <row r="105" spans="1:17" s="166" customFormat="1" ht="13.5" customHeight="1" x14ac:dyDescent="0.25">
      <c r="A105" s="105" t="s">
        <v>137</v>
      </c>
      <c r="B105" s="153">
        <v>13.63</v>
      </c>
      <c r="C105" s="140">
        <f t="shared" si="28"/>
        <v>2.8288644124664468E-2</v>
      </c>
      <c r="D105" s="173"/>
      <c r="E105" s="153" t="s">
        <v>72</v>
      </c>
      <c r="F105" s="107">
        <v>0</v>
      </c>
      <c r="G105" s="181"/>
      <c r="H105" s="177" t="s">
        <v>72</v>
      </c>
      <c r="I105" s="107">
        <v>0</v>
      </c>
      <c r="J105" s="173"/>
      <c r="K105" s="156" t="s">
        <v>72</v>
      </c>
      <c r="L105" s="258">
        <v>0</v>
      </c>
      <c r="M105" s="173"/>
      <c r="N105" s="156" t="s">
        <v>72</v>
      </c>
      <c r="O105" s="58">
        <v>0</v>
      </c>
      <c r="P105" s="58"/>
      <c r="Q105" s="256"/>
    </row>
    <row r="106" spans="1:17" ht="24.75" customHeight="1" x14ac:dyDescent="0.25">
      <c r="A106" s="18" t="s">
        <v>34</v>
      </c>
      <c r="B106" s="154">
        <f>+SUM(B107:B114)</f>
        <v>9228.8349999999991</v>
      </c>
      <c r="C106" s="142">
        <f>+SUM(C107:C114)</f>
        <v>19.154162068983702</v>
      </c>
      <c r="D106" s="279"/>
      <c r="E106" s="154">
        <f>+SUM(E107:E114)</f>
        <v>8984.4249999999993</v>
      </c>
      <c r="F106" s="59">
        <f>+SUM(F107:F114)</f>
        <v>15.486060645088362</v>
      </c>
      <c r="G106" s="181"/>
      <c r="H106" s="243">
        <f>+SUM(H107:H114)</f>
        <v>12795.226999999999</v>
      </c>
      <c r="I106" s="59">
        <f>+SUM(I107:I114)</f>
        <v>20.846176843151387</v>
      </c>
      <c r="J106" s="279"/>
      <c r="K106" s="154">
        <f>+SUM(K107:K114)</f>
        <v>19724.792999999998</v>
      </c>
      <c r="L106" s="59">
        <f>+SUM(L107:L114)</f>
        <v>26.772973793971758</v>
      </c>
      <c r="M106" s="279"/>
      <c r="N106" s="243">
        <f>+SUM(N107:N114)</f>
        <v>21560.498</v>
      </c>
      <c r="O106" s="59">
        <f>+SUM(O107:O114)</f>
        <v>27.59150910628022</v>
      </c>
      <c r="P106" s="59"/>
      <c r="Q106" s="256"/>
    </row>
    <row r="107" spans="1:17" ht="13.5" customHeight="1" x14ac:dyDescent="0.25">
      <c r="A107" s="20" t="s">
        <v>138</v>
      </c>
      <c r="B107" s="153">
        <f>1587310/1000</f>
        <v>1587.31</v>
      </c>
      <c r="C107" s="138">
        <f>+(B107/$B$80)*100</f>
        <v>3.2944128910873922</v>
      </c>
      <c r="D107" s="173"/>
      <c r="E107" s="156">
        <f>2148382/1000</f>
        <v>2148.3820000000001</v>
      </c>
      <c r="F107" s="58">
        <f t="shared" ref="F107:F113" si="32">+(E107/$E$80)*100</f>
        <v>3.7030721432719655</v>
      </c>
      <c r="G107" s="58"/>
      <c r="H107" s="156">
        <f>2585446/1000</f>
        <v>2585.4459999999999</v>
      </c>
      <c r="I107" s="58">
        <f t="shared" ref="I107:I113" si="33">+(H107/$H$80)*100</f>
        <v>4.2122476244007538</v>
      </c>
      <c r="J107" s="173">
        <v>3.57</v>
      </c>
      <c r="K107" s="156">
        <f>3250657/1000</f>
        <v>3250.6570000000002</v>
      </c>
      <c r="L107" s="58">
        <f>+(K107/$K$80)*100</f>
        <v>4.412201166024448</v>
      </c>
      <c r="M107" s="173"/>
      <c r="N107" s="156">
        <f>4718625/1000</f>
        <v>4718.625</v>
      </c>
      <c r="O107" s="58">
        <f>+(N107/$N$80)*100</f>
        <v>6.0385425539160318</v>
      </c>
      <c r="P107" s="58"/>
      <c r="Q107" s="256"/>
    </row>
    <row r="108" spans="1:17" ht="13.5" customHeight="1" x14ac:dyDescent="0.25">
      <c r="A108" s="20" t="s">
        <v>139</v>
      </c>
      <c r="B108" s="153">
        <f>638323/1000</f>
        <v>638.32299999999998</v>
      </c>
      <c r="C108" s="138">
        <f t="shared" ref="C108:C113" si="34">+(B108/$B$80)*100</f>
        <v>1.3248196759785911</v>
      </c>
      <c r="D108" s="173"/>
      <c r="E108" s="156">
        <f>667573/1000</f>
        <v>667.57299999999998</v>
      </c>
      <c r="F108" s="58">
        <f t="shared" si="32"/>
        <v>1.1506663991322286</v>
      </c>
      <c r="G108" s="58"/>
      <c r="H108" s="156">
        <f>556344/1000</f>
        <v>556.34400000000005</v>
      </c>
      <c r="I108" s="58">
        <f t="shared" si="33"/>
        <v>0.90640403719498053</v>
      </c>
      <c r="J108" s="173"/>
      <c r="K108" s="156">
        <f>865234/1000</f>
        <v>865.23400000000004</v>
      </c>
      <c r="L108" s="58">
        <f t="shared" ref="L108:L113" si="35">+(K108/$K$80)*100</f>
        <v>1.1744045784233763</v>
      </c>
      <c r="M108" s="173"/>
      <c r="N108" s="156">
        <f>1067003/1000</f>
        <v>1067.0029999999999</v>
      </c>
      <c r="O108" s="58">
        <f t="shared" ref="O108:O113" si="36">+(N108/$N$80)*100</f>
        <v>1.3654704539258931</v>
      </c>
      <c r="P108" s="58"/>
      <c r="Q108" s="256"/>
    </row>
    <row r="109" spans="1:17" ht="13.5" customHeight="1" x14ac:dyDescent="0.25">
      <c r="A109" s="20" t="s">
        <v>37</v>
      </c>
      <c r="B109" s="153">
        <f>643861/1000</f>
        <v>643.86099999999999</v>
      </c>
      <c r="C109" s="138">
        <f t="shared" si="34"/>
        <v>1.336313623972897</v>
      </c>
      <c r="D109" s="173"/>
      <c r="E109" s="156">
        <f>543861/1000</f>
        <v>543.86099999999999</v>
      </c>
      <c r="F109" s="58">
        <f t="shared" si="32"/>
        <v>0.93742943243428511</v>
      </c>
      <c r="G109" s="58"/>
      <c r="H109" s="156">
        <f>907137/1000</f>
        <v>907.13699999999994</v>
      </c>
      <c r="I109" s="58">
        <f t="shared" si="33"/>
        <v>1.4779212844731728</v>
      </c>
      <c r="J109" s="173"/>
      <c r="K109" s="156">
        <f>1389338/1000</f>
        <v>1389.338</v>
      </c>
      <c r="L109" s="58">
        <f t="shared" si="35"/>
        <v>1.885784548662647</v>
      </c>
      <c r="M109" s="173"/>
      <c r="N109" s="156">
        <f>1564895/1000</f>
        <v>1564.895</v>
      </c>
      <c r="O109" s="58">
        <f t="shared" si="36"/>
        <v>2.0026353121747182</v>
      </c>
      <c r="P109" s="58"/>
      <c r="Q109" s="256"/>
    </row>
    <row r="110" spans="1:17" ht="13.5" customHeight="1" x14ac:dyDescent="0.25">
      <c r="A110" s="20" t="s">
        <v>38</v>
      </c>
      <c r="B110" s="153">
        <f>286611/1000</f>
        <v>286.61099999999999</v>
      </c>
      <c r="C110" s="138">
        <f t="shared" si="34"/>
        <v>0.5948522803532067</v>
      </c>
      <c r="D110" s="173"/>
      <c r="E110" s="156">
        <f>320716/1000</f>
        <v>320.71600000000001</v>
      </c>
      <c r="F110" s="58">
        <f t="shared" si="32"/>
        <v>0.55280415005413919</v>
      </c>
      <c r="G110" s="58"/>
      <c r="H110" s="156">
        <f>220812/1000</f>
        <v>220.81200000000001</v>
      </c>
      <c r="I110" s="58">
        <f t="shared" si="33"/>
        <v>0.35975024132748445</v>
      </c>
      <c r="J110" s="173"/>
      <c r="K110" s="156">
        <f>216842/1000</f>
        <v>216.84200000000001</v>
      </c>
      <c r="L110" s="58">
        <f t="shared" si="35"/>
        <v>0.29432527801089853</v>
      </c>
      <c r="M110" s="173"/>
      <c r="N110" s="156">
        <f>374110/1000</f>
        <v>374.11</v>
      </c>
      <c r="O110" s="58">
        <f t="shared" si="36"/>
        <v>0.47875793368736169</v>
      </c>
      <c r="P110" s="58"/>
      <c r="Q110" s="256"/>
    </row>
    <row r="111" spans="1:17" ht="13.5" customHeight="1" x14ac:dyDescent="0.25">
      <c r="A111" s="20" t="s">
        <v>39</v>
      </c>
      <c r="B111" s="152">
        <f>655908/1000</f>
        <v>655.90800000000002</v>
      </c>
      <c r="C111" s="138">
        <f t="shared" si="34"/>
        <v>1.3613168004783875</v>
      </c>
      <c r="D111" s="173"/>
      <c r="E111" s="156">
        <f>845617/1000</f>
        <v>845.61699999999996</v>
      </c>
      <c r="F111" s="58">
        <f t="shared" si="32"/>
        <v>1.4575530592684212</v>
      </c>
      <c r="G111" s="58"/>
      <c r="H111" s="156">
        <f>743290/1000</f>
        <v>743.29</v>
      </c>
      <c r="I111" s="58">
        <f t="shared" si="33"/>
        <v>1.2109792804571577</v>
      </c>
      <c r="J111" s="173"/>
      <c r="K111" s="156">
        <f>1169594/1000</f>
        <v>1169.5940000000001</v>
      </c>
      <c r="L111" s="58">
        <f t="shared" si="35"/>
        <v>1.587520310686485</v>
      </c>
      <c r="M111" s="173"/>
      <c r="N111" s="156">
        <f>1625996/1000</f>
        <v>1625.9960000000001</v>
      </c>
      <c r="O111" s="58">
        <f t="shared" si="36"/>
        <v>2.0808277916760187</v>
      </c>
      <c r="P111" s="58"/>
      <c r="Q111" s="256"/>
    </row>
    <row r="112" spans="1:17" s="4" customFormat="1" ht="13.5" customHeight="1" x14ac:dyDescent="0.25">
      <c r="A112" s="20" t="s">
        <v>40</v>
      </c>
      <c r="B112" s="152">
        <f>3149864/1000</f>
        <v>3149.864</v>
      </c>
      <c r="C112" s="138">
        <f t="shared" si="34"/>
        <v>6.537445468605438</v>
      </c>
      <c r="D112" s="173"/>
      <c r="E112" s="156">
        <f>2050043/1000</f>
        <v>2050.0430000000001</v>
      </c>
      <c r="F112" s="58">
        <f t="shared" si="32"/>
        <v>3.5335695075688074</v>
      </c>
      <c r="G112" s="58"/>
      <c r="H112" s="156">
        <f>5388767/1000</f>
        <v>5388.7669999999998</v>
      </c>
      <c r="I112" s="58">
        <f t="shared" si="33"/>
        <v>8.7794604854246341</v>
      </c>
      <c r="J112" s="173"/>
      <c r="K112" s="156">
        <f>7961759/1000</f>
        <v>7961.759</v>
      </c>
      <c r="L112" s="58">
        <f t="shared" si="35"/>
        <v>10.806702258468254</v>
      </c>
      <c r="M112" s="173"/>
      <c r="N112" s="156">
        <f>7729500/1000</f>
        <v>7729.5</v>
      </c>
      <c r="O112" s="58">
        <f t="shared" si="36"/>
        <v>9.8916346754603239</v>
      </c>
      <c r="P112" s="58"/>
      <c r="Q112" s="256"/>
    </row>
    <row r="113" spans="1:17" s="4" customFormat="1" ht="13.5" customHeight="1" x14ac:dyDescent="0.25">
      <c r="A113" s="20" t="s">
        <v>41</v>
      </c>
      <c r="B113" s="152">
        <f>2266958/1000</f>
        <v>2266.9580000000001</v>
      </c>
      <c r="C113" s="138">
        <f t="shared" si="34"/>
        <v>4.7050013285077856</v>
      </c>
      <c r="D113" s="173"/>
      <c r="E113" s="156">
        <f>2408233/1000</f>
        <v>2408.2330000000002</v>
      </c>
      <c r="F113" s="58">
        <f t="shared" si="32"/>
        <v>4.1509659533585159</v>
      </c>
      <c r="G113" s="58"/>
      <c r="H113" s="156">
        <f>2393431/1000</f>
        <v>2393.431</v>
      </c>
      <c r="I113" s="58">
        <f t="shared" si="33"/>
        <v>3.8994138898732067</v>
      </c>
      <c r="J113" s="173"/>
      <c r="K113" s="156">
        <f>4871369/1000</f>
        <v>4871.3689999999997</v>
      </c>
      <c r="L113" s="58">
        <f t="shared" si="35"/>
        <v>6.612035653695651</v>
      </c>
      <c r="M113" s="173"/>
      <c r="N113" s="156">
        <f>4480369/1000</f>
        <v>4480.3689999999997</v>
      </c>
      <c r="O113" s="58">
        <f t="shared" si="36"/>
        <v>5.7336403854398723</v>
      </c>
      <c r="P113" s="58"/>
      <c r="Q113" s="256"/>
    </row>
    <row r="114" spans="1:17" ht="13.5" customHeight="1" x14ac:dyDescent="0.25">
      <c r="A114" s="20" t="s">
        <v>42</v>
      </c>
      <c r="B114" s="152" t="s">
        <v>72</v>
      </c>
      <c r="C114" s="138"/>
      <c r="D114" s="173"/>
      <c r="E114" s="156" t="s">
        <v>72</v>
      </c>
      <c r="F114" s="58">
        <v>0</v>
      </c>
      <c r="G114" s="156"/>
      <c r="H114" s="156" t="s">
        <v>72</v>
      </c>
      <c r="I114" s="58">
        <v>0</v>
      </c>
      <c r="J114" s="156"/>
      <c r="K114" s="115" t="s">
        <v>72</v>
      </c>
      <c r="L114" s="58">
        <v>0</v>
      </c>
      <c r="M114" s="156"/>
      <c r="N114" s="115" t="s">
        <v>72</v>
      </c>
      <c r="O114" s="58">
        <v>0</v>
      </c>
      <c r="P114" s="58"/>
      <c r="Q114" s="256"/>
    </row>
    <row r="115" spans="1:17" ht="13.5" customHeight="1" x14ac:dyDescent="0.25">
      <c r="A115" s="18" t="s">
        <v>43</v>
      </c>
      <c r="B115" s="154">
        <f>+SUM(B116:B119)</f>
        <v>3716.2619999999997</v>
      </c>
      <c r="C115" s="142">
        <f>+SUM(C116:C119)</f>
        <v>7.7129870280274249</v>
      </c>
      <c r="D115" s="284"/>
      <c r="E115" s="154">
        <f>+SUM(E116:E119)</f>
        <v>5281.8849999999993</v>
      </c>
      <c r="F115" s="59">
        <f>+SUM(F116:F119)</f>
        <v>9.1041542926099925</v>
      </c>
      <c r="G115" s="262"/>
      <c r="H115" s="243">
        <f>+SUM(H116:H119)</f>
        <v>6680.6140000000005</v>
      </c>
      <c r="I115" s="59">
        <f>+SUM(I116:I119)</f>
        <v>10.884157105210637</v>
      </c>
      <c r="J115" s="284"/>
      <c r="K115" s="154">
        <f>+SUM(K116:K119)</f>
        <v>7054.9459999999999</v>
      </c>
      <c r="L115" s="59">
        <f>+SUM(L116:L119)</f>
        <v>9.5758614235336168</v>
      </c>
      <c r="M115" s="284"/>
      <c r="N115" s="243">
        <f>+SUM(N116:N119)</f>
        <v>5995.3339999999998</v>
      </c>
      <c r="O115" s="59">
        <f>+SUM(O116:O119)</f>
        <v>7.6723790265044629</v>
      </c>
      <c r="P115" s="59"/>
      <c r="Q115" s="256"/>
    </row>
    <row r="116" spans="1:17" ht="13.5" customHeight="1" x14ac:dyDescent="0.25">
      <c r="A116" s="20" t="s">
        <v>44</v>
      </c>
      <c r="B116" s="152">
        <f>2713586/1000</f>
        <v>2713.5859999999998</v>
      </c>
      <c r="C116" s="138">
        <f>B116/$B$80*100</f>
        <v>5.6319639512598485</v>
      </c>
      <c r="D116" s="173"/>
      <c r="E116" s="156">
        <f>3868102/1000</f>
        <v>3868.1019999999999</v>
      </c>
      <c r="F116" s="107">
        <f>E116/$E$80*100</f>
        <v>6.6672783348280582</v>
      </c>
      <c r="G116" s="58"/>
      <c r="H116" s="156">
        <f>5154300/1000</f>
        <v>5154.3</v>
      </c>
      <c r="I116" s="58">
        <f>H116/$H$80*100</f>
        <v>8.3974633121128068</v>
      </c>
      <c r="J116" s="173"/>
      <c r="K116" s="156">
        <f>5314491/1000</f>
        <v>5314.491</v>
      </c>
      <c r="L116" s="58">
        <f>K116/$K$80*100</f>
        <v>7.2134966522233608</v>
      </c>
      <c r="M116" s="173"/>
      <c r="N116" s="156">
        <f>4624929/1000</f>
        <v>4624.9290000000001</v>
      </c>
      <c r="O116" s="58">
        <f>N116/$N$80*100</f>
        <v>5.9186374368254144</v>
      </c>
      <c r="P116" s="58"/>
      <c r="Q116" s="256"/>
    </row>
    <row r="117" spans="1:17" ht="13.5" customHeight="1" x14ac:dyDescent="0.25">
      <c r="A117" s="20" t="s">
        <v>45</v>
      </c>
      <c r="B117" s="152">
        <f>405357/1000</f>
        <v>405.35700000000003</v>
      </c>
      <c r="C117" s="138">
        <f>+(B117/$B$80)*100</f>
        <v>0.84130593664281839</v>
      </c>
      <c r="D117" s="173"/>
      <c r="E117" s="156">
        <f>639699/1000</f>
        <v>639.69899999999996</v>
      </c>
      <c r="F117" s="107">
        <f>E117/$E$80*100</f>
        <v>1.1026212037612177</v>
      </c>
      <c r="G117" s="285"/>
      <c r="H117" s="152">
        <f>589929/1000</f>
        <v>589.92899999999997</v>
      </c>
      <c r="I117" s="58">
        <f>H117/$H$80*100</f>
        <v>0.96112122582142978</v>
      </c>
      <c r="J117" s="173"/>
      <c r="K117" s="156">
        <f>598629/1000</f>
        <v>598.62900000000002</v>
      </c>
      <c r="L117" s="58">
        <f t="shared" ref="L117:L118" si="37">K117/$K$80*100</f>
        <v>0.81253468816182373</v>
      </c>
      <c r="M117" s="173"/>
      <c r="N117" s="156">
        <f>539525/1000</f>
        <v>539.52499999999998</v>
      </c>
      <c r="O117" s="58">
        <f t="shared" ref="O117:O118" si="38">N117/$N$80*100</f>
        <v>0.69044365072485037</v>
      </c>
      <c r="P117" s="58"/>
      <c r="Q117" s="256"/>
    </row>
    <row r="118" spans="1:17" ht="13.5" customHeight="1" x14ac:dyDescent="0.25">
      <c r="A118" s="20" t="s">
        <v>46</v>
      </c>
      <c r="B118" s="152">
        <f>597319/1000</f>
        <v>597.31899999999996</v>
      </c>
      <c r="C118" s="138">
        <f t="shared" ref="C118" si="39">+(B118/$B$80)*100</f>
        <v>1.239717140124758</v>
      </c>
      <c r="D118" s="173"/>
      <c r="E118" s="156">
        <f>774084/1000</f>
        <v>774.08399999999995</v>
      </c>
      <c r="F118" s="107">
        <f>E118/$E$80*100</f>
        <v>1.3342547540207168</v>
      </c>
      <c r="G118" s="285"/>
      <c r="H118" s="152">
        <f>936385/1000</f>
        <v>936.38499999999999</v>
      </c>
      <c r="I118" s="58">
        <f>H118/$H$80*100</f>
        <v>1.5255725672764004</v>
      </c>
      <c r="J118" s="173"/>
      <c r="K118" s="156">
        <f>1141826/1000</f>
        <v>1141.826</v>
      </c>
      <c r="L118" s="58">
        <f t="shared" si="37"/>
        <v>1.5498300831484315</v>
      </c>
      <c r="M118" s="173"/>
      <c r="N118" s="156">
        <f>830880/1000</f>
        <v>830.88</v>
      </c>
      <c r="O118" s="58">
        <f t="shared" si="38"/>
        <v>1.0632979389541981</v>
      </c>
      <c r="P118" s="58"/>
      <c r="Q118" s="256"/>
    </row>
    <row r="119" spans="1:17" ht="13.5" customHeight="1" x14ac:dyDescent="0.25">
      <c r="A119" s="20" t="s">
        <v>47</v>
      </c>
      <c r="B119" s="152" t="s">
        <v>72</v>
      </c>
      <c r="C119" s="138">
        <v>0</v>
      </c>
      <c r="D119" s="173"/>
      <c r="E119" s="156" t="s">
        <v>72</v>
      </c>
      <c r="F119" s="107">
        <v>0</v>
      </c>
      <c r="G119" s="285"/>
      <c r="H119" s="152" t="s">
        <v>72</v>
      </c>
      <c r="I119" s="58">
        <v>0</v>
      </c>
      <c r="J119" s="173"/>
      <c r="K119" s="152" t="s">
        <v>72</v>
      </c>
      <c r="L119" s="58">
        <v>0</v>
      </c>
      <c r="M119" s="173"/>
      <c r="N119" s="156" t="s">
        <v>72</v>
      </c>
      <c r="O119" s="58">
        <v>0</v>
      </c>
      <c r="P119" s="58"/>
      <c r="Q119" s="256"/>
    </row>
    <row r="120" spans="1:17" ht="21.75" customHeight="1" x14ac:dyDescent="0.25">
      <c r="A120" s="18" t="s">
        <v>48</v>
      </c>
      <c r="B120" s="154">
        <f>+SUM(B121:B123)</f>
        <v>5207.53</v>
      </c>
      <c r="C120" s="142">
        <f>+SUM(C121:C123)</f>
        <v>10.808067713757442</v>
      </c>
      <c r="D120" s="279"/>
      <c r="E120" s="154">
        <f>+SUM(E121:E123)</f>
        <v>6462.0950000000003</v>
      </c>
      <c r="F120" s="59">
        <f>+SUM(F121:F123)</f>
        <v>11.138430680240782</v>
      </c>
      <c r="G120" s="181"/>
      <c r="H120" s="243">
        <f>+SUM(H121:H123)</f>
        <v>5540.1760000000004</v>
      </c>
      <c r="I120" s="59">
        <f>+SUM(I121:I123)</f>
        <v>9.0261383122146341</v>
      </c>
      <c r="J120" s="279"/>
      <c r="K120" s="243">
        <f>+SUM(K121:K123)</f>
        <v>6948.9759999999997</v>
      </c>
      <c r="L120" s="59">
        <f>+SUM(L121:L123)</f>
        <v>9.4320255904809098</v>
      </c>
      <c r="M120" s="279"/>
      <c r="N120" s="243">
        <f>+SUM(N121:N123)</f>
        <v>7926.241</v>
      </c>
      <c r="O120" s="59">
        <f>+SUM(O121:O123)</f>
        <v>10.143409059014854</v>
      </c>
      <c r="P120" s="59"/>
      <c r="Q120" s="256"/>
    </row>
    <row r="121" spans="1:17" ht="13.5" customHeight="1" x14ac:dyDescent="0.25">
      <c r="A121" s="20" t="s">
        <v>49</v>
      </c>
      <c r="B121" s="152">
        <f>5207530/1000</f>
        <v>5207.53</v>
      </c>
      <c r="C121" s="138">
        <f t="shared" ref="C121" si="40">B121/$B$80*100</f>
        <v>10.808067713757442</v>
      </c>
      <c r="D121" s="173"/>
      <c r="E121" s="156">
        <f>6462095/1000</f>
        <v>6462.0950000000003</v>
      </c>
      <c r="F121" s="58">
        <f>E121/$E$80*100</f>
        <v>11.138430680240782</v>
      </c>
      <c r="G121" s="58"/>
      <c r="H121" s="156">
        <f>5540176/1000</f>
        <v>5540.1760000000004</v>
      </c>
      <c r="I121" s="58">
        <f>H121/$H$80*100</f>
        <v>9.0261383122146341</v>
      </c>
      <c r="J121" s="173"/>
      <c r="K121" s="156">
        <f>6948976/1000</f>
        <v>6948.9759999999997</v>
      </c>
      <c r="L121" s="58">
        <f t="shared" si="27"/>
        <v>9.4320255904809098</v>
      </c>
      <c r="M121" s="173"/>
      <c r="N121" s="156">
        <f>7926241/1000</f>
        <v>7926.241</v>
      </c>
      <c r="O121" s="58">
        <f t="shared" ref="O121" si="41">N121/$N$80*100</f>
        <v>10.143409059014854</v>
      </c>
      <c r="P121" s="58"/>
      <c r="Q121" s="256"/>
    </row>
    <row r="122" spans="1:17" ht="13.5" customHeight="1" x14ac:dyDescent="0.25">
      <c r="A122" s="20" t="s">
        <v>140</v>
      </c>
      <c r="B122" s="177" t="s">
        <v>72</v>
      </c>
      <c r="C122" s="138">
        <v>0</v>
      </c>
      <c r="D122" s="279"/>
      <c r="E122" s="159" t="s">
        <v>72</v>
      </c>
      <c r="F122" s="107">
        <v>0</v>
      </c>
      <c r="G122" s="103"/>
      <c r="H122" s="271" t="s">
        <v>72</v>
      </c>
      <c r="I122" s="107">
        <v>0</v>
      </c>
      <c r="J122" s="279"/>
      <c r="K122" s="271" t="s">
        <v>141</v>
      </c>
      <c r="L122" s="107">
        <v>0</v>
      </c>
      <c r="M122" s="279"/>
      <c r="N122" s="156" t="s">
        <v>72</v>
      </c>
      <c r="O122" s="58">
        <v>0</v>
      </c>
      <c r="P122" s="58"/>
      <c r="Q122" s="256"/>
    </row>
    <row r="123" spans="1:17" ht="13.5" customHeight="1" x14ac:dyDescent="0.25">
      <c r="A123" s="263" t="s">
        <v>142</v>
      </c>
      <c r="B123" s="271" t="s">
        <v>72</v>
      </c>
      <c r="C123" s="138">
        <v>0</v>
      </c>
      <c r="D123" s="263"/>
      <c r="E123" s="271" t="s">
        <v>72</v>
      </c>
      <c r="F123" s="107">
        <v>0</v>
      </c>
      <c r="G123" s="263"/>
      <c r="H123" s="271" t="s">
        <v>72</v>
      </c>
      <c r="I123" s="107">
        <v>0</v>
      </c>
      <c r="J123" s="263"/>
      <c r="K123" s="271" t="s">
        <v>141</v>
      </c>
      <c r="L123" s="107">
        <v>0</v>
      </c>
      <c r="M123" s="263"/>
      <c r="N123" s="156" t="s">
        <v>72</v>
      </c>
      <c r="O123" s="58">
        <v>0</v>
      </c>
      <c r="P123" s="58"/>
      <c r="Q123" s="256"/>
    </row>
    <row r="124" spans="1:17" ht="22.5" customHeight="1" x14ac:dyDescent="0.25">
      <c r="A124" s="18" t="s">
        <v>52</v>
      </c>
      <c r="B124" s="136">
        <f>B125+B126+B127+B128+B129</f>
        <v>46404.824999999997</v>
      </c>
      <c r="C124" s="136">
        <f>C125+C126+C127+C128+C129</f>
        <v>100.00000000000001</v>
      </c>
      <c r="D124" s="279"/>
      <c r="E124" s="179">
        <f>E125+E126+E127+E128+E129</f>
        <v>48320.451000000008</v>
      </c>
      <c r="F124" s="179">
        <f>F125+F126+F127+F128+F129</f>
        <v>99.999999999999986</v>
      </c>
      <c r="G124" s="242"/>
      <c r="H124" s="179">
        <f>H125+H126+H127+H128+H129</f>
        <v>48921.471000000005</v>
      </c>
      <c r="I124" s="179">
        <f>I125+I126+I127+I128+I129</f>
        <v>99.999999999999986</v>
      </c>
      <c r="J124" s="279"/>
      <c r="K124" s="179">
        <f>K125+K126+K127+K128+K129</f>
        <v>51092.967000000004</v>
      </c>
      <c r="L124" s="179">
        <f>L125+L126+L127+L128+L129</f>
        <v>100</v>
      </c>
      <c r="M124" s="279"/>
      <c r="N124" s="136">
        <f>N125+N126+N127+N128+N129</f>
        <v>53580.186999999998</v>
      </c>
      <c r="O124" s="179">
        <f>O125+O126+O127+O128+O129</f>
        <v>100</v>
      </c>
      <c r="P124" s="179"/>
      <c r="Q124" s="256"/>
    </row>
    <row r="125" spans="1:17" ht="13.5" customHeight="1" x14ac:dyDescent="0.25">
      <c r="A125" s="20" t="s">
        <v>53</v>
      </c>
      <c r="B125" s="152">
        <f>15989514/1000</f>
        <v>15989.513999999999</v>
      </c>
      <c r="C125" s="138">
        <f>B125/$B$124*100</f>
        <v>34.456576444367585</v>
      </c>
      <c r="D125" s="173"/>
      <c r="E125" s="156">
        <f>16551489/1000</f>
        <v>16551.489000000001</v>
      </c>
      <c r="F125" s="58">
        <f>E125/$E$124*100</f>
        <v>34.253589644682741</v>
      </c>
      <c r="G125" s="58"/>
      <c r="H125" s="156">
        <f>17427846/1000</f>
        <v>17427.846000000001</v>
      </c>
      <c r="I125" s="58">
        <f>H125/$H$124*100</f>
        <v>35.624125039085598</v>
      </c>
      <c r="J125" s="173"/>
      <c r="K125" s="156">
        <f>17737348/1000</f>
        <v>17737.348000000002</v>
      </c>
      <c r="L125" s="58">
        <f>K125/$K$124*100</f>
        <v>34.71583085006592</v>
      </c>
      <c r="M125" s="173"/>
      <c r="N125" s="156">
        <f>18891820/1000</f>
        <v>18891.82</v>
      </c>
      <c r="O125" s="58">
        <f>(N125/N124)*100</f>
        <v>35.258966154784041</v>
      </c>
      <c r="P125" s="58"/>
      <c r="Q125" s="256"/>
    </row>
    <row r="126" spans="1:17" ht="13.5" customHeight="1" x14ac:dyDescent="0.25">
      <c r="A126" s="20" t="s">
        <v>124</v>
      </c>
      <c r="B126" s="152">
        <f>6478760/1000</f>
        <v>6478.76</v>
      </c>
      <c r="C126" s="138">
        <f t="shared" ref="C126:C129" si="42">B126/$B$124*100</f>
        <v>13.961393023247046</v>
      </c>
      <c r="D126" s="173"/>
      <c r="E126" s="156">
        <f>6472997/1000</f>
        <v>6472.9970000000003</v>
      </c>
      <c r="F126" s="58">
        <f>E126/$E$124*100</f>
        <v>13.395978030089161</v>
      </c>
      <c r="G126" s="58"/>
      <c r="H126" s="156">
        <f>5057959/1000</f>
        <v>5057.9589999999998</v>
      </c>
      <c r="I126" s="58">
        <f>H126/$H$124*100</f>
        <v>10.338934820663916</v>
      </c>
      <c r="J126" s="173"/>
      <c r="K126" s="156">
        <f>5416931/1000</f>
        <v>5416.9309999999996</v>
      </c>
      <c r="L126" s="58">
        <f t="shared" ref="L126:L129" si="43">K126/$K$124*100</f>
        <v>10.602106939688978</v>
      </c>
      <c r="M126" s="173"/>
      <c r="N126" s="156">
        <f>6139813/1000</f>
        <v>6139.8130000000001</v>
      </c>
      <c r="O126" s="58">
        <f>(N126/N124)*100</f>
        <v>11.459110809001096</v>
      </c>
      <c r="P126" s="58"/>
      <c r="Q126" s="256"/>
    </row>
    <row r="127" spans="1:17" ht="13.5" customHeight="1" x14ac:dyDescent="0.25">
      <c r="A127" s="20" t="s">
        <v>56</v>
      </c>
      <c r="B127" s="152">
        <f>12910620/1000</f>
        <v>12910.62</v>
      </c>
      <c r="C127" s="138">
        <f t="shared" si="42"/>
        <v>27.821718969956255</v>
      </c>
      <c r="D127" s="173"/>
      <c r="E127" s="156">
        <f>13395289/1000</f>
        <v>13395.289000000001</v>
      </c>
      <c r="F127" s="58">
        <f>E127/$E$124*100</f>
        <v>27.721779749116994</v>
      </c>
      <c r="G127" s="58"/>
      <c r="H127" s="156">
        <f>12107563/1000</f>
        <v>12107.563</v>
      </c>
      <c r="I127" s="58">
        <f>H127/$H$124*100</f>
        <v>24.748975761583292</v>
      </c>
      <c r="J127" s="173"/>
      <c r="K127" s="156">
        <f>14786211/1000</f>
        <v>14786.210999999999</v>
      </c>
      <c r="L127" s="58">
        <f t="shared" si="43"/>
        <v>28.939816707062633</v>
      </c>
      <c r="M127" s="173"/>
      <c r="N127" s="156">
        <f>15162935/1000</f>
        <v>15162.934999999999</v>
      </c>
      <c r="O127" s="58">
        <f>(N127/N124)*100</f>
        <v>28.299518626166797</v>
      </c>
      <c r="P127" s="58"/>
      <c r="Q127" s="256"/>
    </row>
    <row r="128" spans="1:17" ht="13.5" customHeight="1" x14ac:dyDescent="0.25">
      <c r="A128" s="20" t="s">
        <v>115</v>
      </c>
      <c r="B128" s="152">
        <f>7675683/1000</f>
        <v>7675.683</v>
      </c>
      <c r="C128" s="138">
        <f t="shared" si="42"/>
        <v>16.540700239684128</v>
      </c>
      <c r="D128" s="173"/>
      <c r="E128" s="156">
        <f>8616503/1000</f>
        <v>8616.5030000000006</v>
      </c>
      <c r="F128" s="58">
        <f>E128/$E$124*100</f>
        <v>17.8320003677118</v>
      </c>
      <c r="G128" s="58"/>
      <c r="H128" s="156">
        <f>9138576/1000</f>
        <v>9138.5759999999991</v>
      </c>
      <c r="I128" s="58">
        <f>H128/$H$124*100</f>
        <v>18.680092428128333</v>
      </c>
      <c r="J128" s="173"/>
      <c r="K128" s="156">
        <f>7641147/1000</f>
        <v>7641.1469999999999</v>
      </c>
      <c r="L128" s="58">
        <f t="shared" si="43"/>
        <v>14.955379279500445</v>
      </c>
      <c r="M128" s="173"/>
      <c r="N128" s="156">
        <f>7774227/1000</f>
        <v>7774.2269999999999</v>
      </c>
      <c r="O128" s="58">
        <f>(N128/N124)*100</f>
        <v>14.509518229191698</v>
      </c>
      <c r="P128" s="58"/>
      <c r="Q128" s="256"/>
    </row>
    <row r="129" spans="1:20" ht="13.5" customHeight="1" x14ac:dyDescent="0.25">
      <c r="A129" s="20" t="s">
        <v>58</v>
      </c>
      <c r="B129" s="152">
        <f>3350248/1000</f>
        <v>3350.248</v>
      </c>
      <c r="C129" s="138">
        <f t="shared" si="42"/>
        <v>7.2196113227449956</v>
      </c>
      <c r="D129" s="173"/>
      <c r="E129" s="156">
        <f>3284173/1000</f>
        <v>3284.1729999999998</v>
      </c>
      <c r="F129" s="58">
        <f>E129/$E$124*100</f>
        <v>6.7966522083992951</v>
      </c>
      <c r="G129" s="58"/>
      <c r="H129" s="156">
        <f>5189527/1000</f>
        <v>5189.527</v>
      </c>
      <c r="I129" s="58">
        <f>H129/$H$124*100</f>
        <v>10.607871950538854</v>
      </c>
      <c r="J129" s="173"/>
      <c r="K129" s="156">
        <f>5511330/1000</f>
        <v>5511.33</v>
      </c>
      <c r="L129" s="58">
        <f t="shared" si="43"/>
        <v>10.786866223682019</v>
      </c>
      <c r="M129" s="173"/>
      <c r="N129" s="156">
        <f>5611392/1000</f>
        <v>5611.3919999999998</v>
      </c>
      <c r="O129" s="58">
        <f>(N129/N124)*100</f>
        <v>10.472886180856369</v>
      </c>
      <c r="P129" s="58"/>
      <c r="Q129" s="256"/>
    </row>
    <row r="130" spans="1:20" ht="25.5" customHeight="1" x14ac:dyDescent="0.25">
      <c r="A130" s="104" t="s">
        <v>61</v>
      </c>
      <c r="B130" s="275">
        <f>B132+B131</f>
        <v>1781.797</v>
      </c>
      <c r="C130" s="275">
        <f>C132+C131</f>
        <v>99.999999999999986</v>
      </c>
      <c r="D130" s="173"/>
      <c r="E130" s="22">
        <f>E132+E131</f>
        <v>307516.11499999999</v>
      </c>
      <c r="F130" s="22">
        <f>F132+F131</f>
        <v>100</v>
      </c>
      <c r="G130" s="19"/>
      <c r="H130" s="22">
        <f>H132+H131</f>
        <v>1659.44</v>
      </c>
      <c r="I130" s="22">
        <f>I132+I131</f>
        <v>100</v>
      </c>
      <c r="J130" s="173"/>
      <c r="K130" s="22">
        <f>K132+K131</f>
        <v>1653.1109999999999</v>
      </c>
      <c r="L130" s="22">
        <f>L132+L131</f>
        <v>100</v>
      </c>
      <c r="M130" s="173"/>
      <c r="N130" s="270">
        <f>N132+N131</f>
        <v>1686.307</v>
      </c>
      <c r="O130" s="22">
        <f>O132+O131</f>
        <v>100</v>
      </c>
      <c r="P130" s="22"/>
      <c r="Q130" s="256"/>
    </row>
    <row r="131" spans="1:20" ht="13.5" customHeight="1" x14ac:dyDescent="0.25">
      <c r="A131" s="20" t="s">
        <v>143</v>
      </c>
      <c r="B131" s="152">
        <f>310645/1000</f>
        <v>310.64499999999998</v>
      </c>
      <c r="C131" s="138">
        <f>B131/$B$130*100</f>
        <v>17.434365418731762</v>
      </c>
      <c r="D131" s="173"/>
      <c r="E131" s="156">
        <v>306026</v>
      </c>
      <c r="F131" s="58">
        <f>E131/$E$130*100</f>
        <v>99.515435150447317</v>
      </c>
      <c r="G131" s="58"/>
      <c r="H131" s="156">
        <f>267365/1000</f>
        <v>267.36500000000001</v>
      </c>
      <c r="I131" s="58">
        <f>+(H131/$H$130)*100</f>
        <v>16.111760593935305</v>
      </c>
      <c r="J131" s="173"/>
      <c r="K131" s="156">
        <f>271531/1000</f>
        <v>271.53100000000001</v>
      </c>
      <c r="L131" s="58">
        <f>(K131/$K$130)*100</f>
        <v>16.4254547940217</v>
      </c>
      <c r="M131" s="173"/>
      <c r="N131" s="156">
        <f>273795/1000</f>
        <v>273.79500000000002</v>
      </c>
      <c r="O131" s="58">
        <f>(N131/$N$130)*100</f>
        <v>16.23636739929325</v>
      </c>
      <c r="P131" s="58"/>
      <c r="Q131" s="256"/>
    </row>
    <row r="132" spans="1:20" ht="13.5" customHeight="1" x14ac:dyDescent="0.25">
      <c r="A132" s="20" t="s">
        <v>130</v>
      </c>
      <c r="B132" s="152">
        <f>1471152/1000</f>
        <v>1471.152</v>
      </c>
      <c r="C132" s="138">
        <f t="shared" ref="C132" si="44">B132/$B$130*100</f>
        <v>82.565634581268228</v>
      </c>
      <c r="D132" s="173"/>
      <c r="E132" s="156">
        <f>1490115/1000</f>
        <v>1490.115</v>
      </c>
      <c r="F132" s="58">
        <f>E132/$E$130*100</f>
        <v>0.48456484955268114</v>
      </c>
      <c r="G132" s="58"/>
      <c r="H132" s="156">
        <f>1392075/1000</f>
        <v>1392.075</v>
      </c>
      <c r="I132" s="58">
        <f>+(H132/$H$130)*100</f>
        <v>83.888239406064699</v>
      </c>
      <c r="J132" s="173"/>
      <c r="K132" s="156">
        <f>1381580/1000</f>
        <v>1381.58</v>
      </c>
      <c r="L132" s="58">
        <f>(K132/$K$130)*100</f>
        <v>83.574545205978296</v>
      </c>
      <c r="M132" s="173"/>
      <c r="N132" s="156">
        <f>1412512/1000</f>
        <v>1412.5119999999999</v>
      </c>
      <c r="O132" s="58">
        <f>(N132/$N$130)*100</f>
        <v>83.763632600706757</v>
      </c>
      <c r="P132" s="58"/>
      <c r="Q132" s="256"/>
    </row>
    <row r="133" spans="1:20" ht="3" customHeight="1" x14ac:dyDescent="0.25">
      <c r="A133" s="328"/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256"/>
    </row>
    <row r="134" spans="1:20" s="293" customFormat="1" ht="9" customHeight="1" x14ac:dyDescent="0.2">
      <c r="A134" s="247" t="s">
        <v>144</v>
      </c>
      <c r="B134" s="294"/>
      <c r="C134" s="294"/>
      <c r="D134" s="294"/>
      <c r="E134" s="294"/>
      <c r="F134" s="294"/>
      <c r="G134" s="294"/>
      <c r="H134" s="294"/>
      <c r="I134" s="295"/>
      <c r="J134" s="294"/>
      <c r="K134" s="296"/>
      <c r="L134" s="294"/>
      <c r="M134" s="294"/>
      <c r="N134" s="294"/>
      <c r="O134" s="294"/>
      <c r="P134" s="294"/>
    </row>
    <row r="135" spans="1:20" ht="10.5" customHeight="1" x14ac:dyDescent="0.25">
      <c r="A135" s="247" t="s">
        <v>145</v>
      </c>
      <c r="B135" s="173"/>
      <c r="C135" s="173"/>
      <c r="D135" s="173"/>
      <c r="E135" s="173"/>
      <c r="F135" s="173"/>
      <c r="G135" s="173"/>
      <c r="H135" s="173"/>
      <c r="I135" s="58"/>
      <c r="J135" s="173"/>
      <c r="K135" s="228"/>
      <c r="L135" s="173"/>
      <c r="M135" s="173"/>
      <c r="N135" s="173"/>
      <c r="O135" s="173"/>
      <c r="P135" s="173"/>
    </row>
    <row r="136" spans="1:20" ht="15.75" customHeight="1" x14ac:dyDescent="0.25">
      <c r="A136" s="247"/>
      <c r="B136" s="173"/>
      <c r="C136" s="173"/>
      <c r="D136" s="173"/>
      <c r="E136" s="173"/>
      <c r="F136" s="173"/>
      <c r="G136" s="173"/>
      <c r="H136" s="173"/>
      <c r="I136" s="58"/>
      <c r="J136" s="173"/>
      <c r="K136" s="228"/>
      <c r="L136" s="173"/>
      <c r="M136" s="173"/>
      <c r="N136" s="173"/>
      <c r="O136" s="173"/>
      <c r="P136" s="173"/>
    </row>
    <row r="137" spans="1:20" s="4" customFormat="1" ht="16.5" customHeight="1" x14ac:dyDescent="0.25">
      <c r="A137" s="77" t="s">
        <v>146</v>
      </c>
      <c r="B137" s="77"/>
      <c r="C137" s="77"/>
      <c r="D137" s="77"/>
      <c r="E137" s="77"/>
      <c r="F137" s="77"/>
      <c r="G137" s="60"/>
      <c r="H137" s="147"/>
      <c r="I137" s="173"/>
      <c r="J137" s="173"/>
      <c r="K137" s="173"/>
      <c r="L137" s="173"/>
      <c r="M137" s="173"/>
      <c r="N137" s="173"/>
      <c r="O137" s="226"/>
      <c r="P137" s="226"/>
    </row>
    <row r="138" spans="1:20" s="4" customFormat="1" ht="18.75" customHeight="1" x14ac:dyDescent="0.25">
      <c r="A138" s="395" t="str">
        <f t="shared" ref="A138" si="45">$A$2</f>
        <v>Cuadro 1.6</v>
      </c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  <c r="O138" s="395"/>
      <c r="P138" s="380"/>
    </row>
    <row r="139" spans="1:20" ht="12.75" customHeight="1" x14ac:dyDescent="0.25">
      <c r="A139" s="395" t="s">
        <v>129</v>
      </c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  <c r="O139" s="395"/>
      <c r="P139" s="380"/>
    </row>
    <row r="140" spans="1:20" ht="16.5" customHeight="1" thickBot="1" x14ac:dyDescent="0.3">
      <c r="A140" s="400" t="s">
        <v>3</v>
      </c>
      <c r="B140" s="399">
        <v>2012</v>
      </c>
      <c r="C140" s="399"/>
      <c r="D140" s="323"/>
      <c r="E140" s="399">
        <v>2013</v>
      </c>
      <c r="F140" s="399"/>
      <c r="G140" s="381"/>
      <c r="H140" s="399">
        <v>2014</v>
      </c>
      <c r="I140" s="399"/>
      <c r="J140" s="323"/>
      <c r="K140" s="399">
        <v>2015</v>
      </c>
      <c r="L140" s="399"/>
      <c r="M140" s="323"/>
      <c r="N140" s="399">
        <v>2016</v>
      </c>
      <c r="O140" s="399"/>
      <c r="P140" s="381"/>
    </row>
    <row r="141" spans="1:20" ht="39" customHeight="1" x14ac:dyDescent="0.25">
      <c r="A141" s="400"/>
      <c r="B141" s="324" t="s">
        <v>93</v>
      </c>
      <c r="C141" s="325" t="s">
        <v>94</v>
      </c>
      <c r="D141" s="325"/>
      <c r="E141" s="324" t="s">
        <v>93</v>
      </c>
      <c r="F141" s="325" t="s">
        <v>94</v>
      </c>
      <c r="G141" s="325"/>
      <c r="H141" s="324" t="s">
        <v>93</v>
      </c>
      <c r="I141" s="325" t="s">
        <v>94</v>
      </c>
      <c r="J141" s="323"/>
      <c r="K141" s="326" t="s">
        <v>93</v>
      </c>
      <c r="L141" s="325" t="s">
        <v>94</v>
      </c>
      <c r="M141" s="323"/>
      <c r="N141" s="324" t="s">
        <v>93</v>
      </c>
      <c r="O141" s="325" t="s">
        <v>94</v>
      </c>
      <c r="P141" s="325"/>
      <c r="Q141" s="361"/>
      <c r="R141" s="361"/>
      <c r="S141" s="361"/>
      <c r="T141" s="361"/>
    </row>
    <row r="142" spans="1:20" ht="23.25" customHeight="1" x14ac:dyDescent="0.25">
      <c r="A142" s="313" t="s">
        <v>6</v>
      </c>
      <c r="B142" s="314">
        <f>B143+B187+B193</f>
        <v>139867.42500000002</v>
      </c>
      <c r="C142" s="314"/>
      <c r="D142" s="314">
        <f>D143+D187+D193</f>
        <v>0</v>
      </c>
      <c r="E142" s="314">
        <f>E143+E187+E193</f>
        <v>146022.99894455221</v>
      </c>
      <c r="F142" s="314"/>
      <c r="G142" s="314"/>
      <c r="H142" s="314">
        <f>H143+H187+H193</f>
        <v>154559.09783018456</v>
      </c>
      <c r="I142" s="314"/>
      <c r="J142" s="314"/>
      <c r="K142" s="314">
        <f>K143+K187+K193</f>
        <v>174295.29343589849</v>
      </c>
      <c r="L142" s="314"/>
      <c r="M142" s="314"/>
      <c r="N142" s="314">
        <f>N143+N187+N193</f>
        <v>190348.77522109743</v>
      </c>
      <c r="O142" s="314"/>
      <c r="P142" s="314"/>
      <c r="Q142" s="253"/>
      <c r="R142" s="253"/>
      <c r="S142" s="360"/>
      <c r="T142" s="360"/>
    </row>
    <row r="143" spans="1:20" ht="21" customHeight="1" x14ac:dyDescent="0.25">
      <c r="A143" s="18" t="s">
        <v>7</v>
      </c>
      <c r="B143" s="179">
        <f>B144+B148+B154+B156+B160+B169+B178+B183</f>
        <v>79119.804000000018</v>
      </c>
      <c r="C143" s="179">
        <f>C144+C148+C154+C156+C160+C169+C178+C183</f>
        <v>99.999999999999986</v>
      </c>
      <c r="D143" s="179"/>
      <c r="E143" s="179">
        <f>E144+E148+E154+E156+E160+E169+E178+E183</f>
        <v>82683.659472400584</v>
      </c>
      <c r="F143" s="179">
        <f>F144+F148+F154+F156+F160+F169+F178+F183</f>
        <v>99.999999999999986</v>
      </c>
      <c r="G143" s="179"/>
      <c r="H143" s="362">
        <f>H144+H148+H154+H156+H160+H169+H178+H183</f>
        <v>86322.851711102907</v>
      </c>
      <c r="I143" s="179">
        <f>I144+I148+I154+I156+I160+I169+I178+I183</f>
        <v>99.999999999999986</v>
      </c>
      <c r="J143" s="179"/>
      <c r="K143" s="136">
        <f>K144+K148+K154+K156+K160+K169+K178+K183</f>
        <v>100693.69054401672</v>
      </c>
      <c r="L143" s="136">
        <f>L144+L148+L154+L156+L160+L169+L178+L183</f>
        <v>100</v>
      </c>
      <c r="M143" s="136"/>
      <c r="N143" s="136">
        <f>N144+N148+N154+N156+N160+N169+N178+N183</f>
        <v>112970.36556682094</v>
      </c>
      <c r="O143" s="179">
        <f>O144+O148+O154+O156+O160+O169+O178+O183</f>
        <v>99.999999999999986</v>
      </c>
      <c r="P143" s="179"/>
      <c r="Q143" s="253"/>
      <c r="R143" s="253"/>
      <c r="S143" s="356"/>
    </row>
    <row r="144" spans="1:20" ht="15.75" customHeight="1" x14ac:dyDescent="0.25">
      <c r="A144" s="178" t="s">
        <v>8</v>
      </c>
      <c r="B144" s="97">
        <f>+B146+B145</f>
        <v>12018.369000000001</v>
      </c>
      <c r="C144" s="26">
        <f>+C146+C145</f>
        <v>15.19008944966547</v>
      </c>
      <c r="D144" s="266"/>
      <c r="E144" s="97">
        <f>+E146+E145</f>
        <v>14553.204241110381</v>
      </c>
      <c r="F144" s="26">
        <f>+F146+F145</f>
        <v>17.601064507755815</v>
      </c>
      <c r="G144" s="173"/>
      <c r="H144" s="97">
        <f>+H146+H145</f>
        <v>14275.1069558404</v>
      </c>
      <c r="I144" s="26">
        <f>+I146+I145</f>
        <v>16.536880643858904</v>
      </c>
      <c r="J144" s="26"/>
      <c r="K144" s="97">
        <f>+K146+K145</f>
        <v>14506.557338448551</v>
      </c>
      <c r="L144" s="26">
        <f>+L146+L145</f>
        <v>14.406619977949093</v>
      </c>
      <c r="M144" s="136"/>
      <c r="N144" s="97">
        <f>+N146+N145</f>
        <v>15377.652212246932</v>
      </c>
      <c r="O144" s="26">
        <f>+O146+O145</f>
        <v>13.612111579077071</v>
      </c>
      <c r="P144" s="26"/>
      <c r="Q144" s="253"/>
      <c r="R144" s="253"/>
      <c r="S144" s="356"/>
    </row>
    <row r="145" spans="1:19" ht="15.75" customHeight="1" x14ac:dyDescent="0.25">
      <c r="A145" s="20" t="s">
        <v>9</v>
      </c>
      <c r="B145" s="156">
        <f>11356072/1000</f>
        <v>11356.072</v>
      </c>
      <c r="C145" s="58">
        <f t="shared" ref="C145:C152" si="46">(B145/$B$143)*100</f>
        <v>14.353008255682735</v>
      </c>
      <c r="D145" s="134"/>
      <c r="E145" s="156">
        <v>13815.010176882799</v>
      </c>
      <c r="F145" s="58">
        <f>(E145/$E$143)*100</f>
        <v>16.708271338055837</v>
      </c>
      <c r="G145" s="173"/>
      <c r="H145" s="156">
        <v>13683.881293648699</v>
      </c>
      <c r="I145" s="58">
        <f>(H145/$H$143)*100</f>
        <v>15.85198012160744</v>
      </c>
      <c r="J145" s="173"/>
      <c r="K145" s="58">
        <v>13850.6641614936</v>
      </c>
      <c r="L145" s="58">
        <f>(K145/$K$143)*100</f>
        <v>13.755245325365239</v>
      </c>
      <c r="M145" s="136"/>
      <c r="N145" s="58">
        <v>14643.283208232766</v>
      </c>
      <c r="O145" s="58">
        <f t="shared" ref="O145:O152" si="47">(N145/$N$143)*100</f>
        <v>12.962057026868163</v>
      </c>
      <c r="P145" s="58"/>
      <c r="Q145" s="257"/>
      <c r="R145" s="357"/>
      <c r="S145" s="356"/>
    </row>
    <row r="146" spans="1:19" ht="15.75" customHeight="1" x14ac:dyDescent="0.25">
      <c r="A146" s="20" t="s">
        <v>10</v>
      </c>
      <c r="B146" s="156">
        <f>662297/1000</f>
        <v>662.29700000000003</v>
      </c>
      <c r="C146" s="58">
        <f>(B146/$B$143)*100</f>
        <v>0.83708119398273517</v>
      </c>
      <c r="D146" s="134"/>
      <c r="E146" s="156">
        <v>738.19406422758198</v>
      </c>
      <c r="F146" s="58">
        <f>(E146/$E$143)*100</f>
        <v>0.89279316969997879</v>
      </c>
      <c r="G146" s="173"/>
      <c r="H146" s="156">
        <v>591.22566219169971</v>
      </c>
      <c r="I146" s="58">
        <f>(H146/$H$143)*100</f>
        <v>0.68490052225146292</v>
      </c>
      <c r="J146" s="173"/>
      <c r="K146" s="58">
        <v>655.89317695495095</v>
      </c>
      <c r="L146" s="58">
        <f t="shared" ref="L146:L152" si="48">(K146/$K$143)*100</f>
        <v>0.65137465258385496</v>
      </c>
      <c r="M146" s="136"/>
      <c r="N146" s="58">
        <v>734.36900401416574</v>
      </c>
      <c r="O146" s="58">
        <f t="shared" si="47"/>
        <v>0.65005455220890929</v>
      </c>
      <c r="P146" s="58"/>
      <c r="Q146" s="257"/>
    </row>
    <row r="147" spans="1:19" ht="15.75" customHeight="1" x14ac:dyDescent="0.25">
      <c r="A147" s="20" t="s">
        <v>65</v>
      </c>
      <c r="B147" s="156" t="s">
        <v>72</v>
      </c>
      <c r="C147" s="156" t="s">
        <v>72</v>
      </c>
      <c r="D147" s="156" t="s">
        <v>72</v>
      </c>
      <c r="E147" s="156" t="s">
        <v>72</v>
      </c>
      <c r="F147" s="58"/>
      <c r="G147" s="58"/>
      <c r="H147" s="156">
        <v>57.113027859586175</v>
      </c>
      <c r="I147" s="58">
        <f>(H147/$H$143)*100</f>
        <v>6.616211898412093E-2</v>
      </c>
      <c r="J147" s="173"/>
      <c r="K147" s="177" t="s">
        <v>72</v>
      </c>
      <c r="L147" s="177" t="s">
        <v>72</v>
      </c>
      <c r="M147" s="177"/>
      <c r="N147" s="177" t="s">
        <v>72</v>
      </c>
      <c r="O147" s="177" t="s">
        <v>72</v>
      </c>
      <c r="P147" s="177"/>
      <c r="Q147" s="257"/>
    </row>
    <row r="148" spans="1:19" ht="30" customHeight="1" x14ac:dyDescent="0.25">
      <c r="A148" s="104" t="s">
        <v>11</v>
      </c>
      <c r="B148" s="267">
        <f>+SUM(B149:B152)</f>
        <v>15518.701999999999</v>
      </c>
      <c r="C148" s="59">
        <f>+SUM(C149:C152)</f>
        <v>19.61418155181476</v>
      </c>
      <c r="D148" s="135"/>
      <c r="E148" s="267">
        <f>+SUM(E149:E152)</f>
        <v>14862.514023856977</v>
      </c>
      <c r="F148" s="59">
        <f>+SUM(F149:F152)</f>
        <v>17.975152670665253</v>
      </c>
      <c r="G148" s="279"/>
      <c r="H148" s="267">
        <f>+SUM(H149:H152)</f>
        <v>16444.740001194008</v>
      </c>
      <c r="I148" s="59">
        <f>+SUM(I149:I152)</f>
        <v>19.050274261362098</v>
      </c>
      <c r="J148" s="279"/>
      <c r="K148" s="243">
        <f>+SUM(K149:K152)</f>
        <v>18495.918503918372</v>
      </c>
      <c r="L148" s="272">
        <f>+SUM(L149:L152)</f>
        <v>18.368497970419668</v>
      </c>
      <c r="M148" s="243"/>
      <c r="N148" s="243">
        <f>+SUM(N149:N152)</f>
        <v>21518.214882663295</v>
      </c>
      <c r="O148" s="59">
        <f>(N148/$N$143)*100</f>
        <v>19.047663318337644</v>
      </c>
      <c r="P148" s="59"/>
      <c r="Q148" s="257"/>
    </row>
    <row r="149" spans="1:19" ht="15.75" customHeight="1" x14ac:dyDescent="0.25">
      <c r="A149" s="20" t="s">
        <v>12</v>
      </c>
      <c r="B149" s="156">
        <f>8245875/1000</f>
        <v>8245.875</v>
      </c>
      <c r="C149" s="58">
        <f t="shared" si="46"/>
        <v>10.422011409431699</v>
      </c>
      <c r="D149" s="134"/>
      <c r="E149" s="156">
        <v>8595.1783708682487</v>
      </c>
      <c r="F149" s="58">
        <f>(E149/$E$143)*100</f>
        <v>10.395256361067664</v>
      </c>
      <c r="G149" s="173"/>
      <c r="H149" s="156">
        <v>8981.1677029023049</v>
      </c>
      <c r="I149" s="58">
        <f>(H149/$H$143)*100</f>
        <v>10.404160109260085</v>
      </c>
      <c r="J149" s="173"/>
      <c r="K149" s="58">
        <v>7627.6504866487003</v>
      </c>
      <c r="L149" s="58">
        <f t="shared" si="48"/>
        <v>7.5751027154123314</v>
      </c>
      <c r="M149" s="136"/>
      <c r="N149" s="58">
        <v>8642.3008566232402</v>
      </c>
      <c r="O149" s="58">
        <f>(N149/$N$143)*100</f>
        <v>7.6500600960801508</v>
      </c>
      <c r="P149" s="58"/>
      <c r="Q149" s="257"/>
    </row>
    <row r="150" spans="1:19" ht="15.75" customHeight="1" x14ac:dyDescent="0.25">
      <c r="A150" s="20" t="s">
        <v>13</v>
      </c>
      <c r="B150" s="156">
        <f>152872/1000</f>
        <v>152.87200000000001</v>
      </c>
      <c r="C150" s="58">
        <f t="shared" si="46"/>
        <v>0.19321584770356609</v>
      </c>
      <c r="D150" s="134"/>
      <c r="E150" s="156">
        <v>158.90801849999991</v>
      </c>
      <c r="F150" s="58">
        <f>(E150/$E$143)*100</f>
        <v>0.19218793594040509</v>
      </c>
      <c r="G150" s="173"/>
      <c r="H150" s="156">
        <v>214.72968418695649</v>
      </c>
      <c r="I150" s="58">
        <f>(H150/$H$143)*100</f>
        <v>0.24875184256608357</v>
      </c>
      <c r="J150" s="173"/>
      <c r="K150" s="58">
        <v>256.41787062499998</v>
      </c>
      <c r="L150" s="58">
        <f t="shared" si="48"/>
        <v>0.25465137809494709</v>
      </c>
      <c r="M150" s="136"/>
      <c r="N150" s="58">
        <v>207.35294125000001</v>
      </c>
      <c r="O150" s="58">
        <f t="shared" si="47"/>
        <v>0.18354631341557678</v>
      </c>
      <c r="P150" s="58"/>
      <c r="Q150" s="257"/>
    </row>
    <row r="151" spans="1:19" ht="15.75" customHeight="1" x14ac:dyDescent="0.25">
      <c r="A151" s="20" t="s">
        <v>14</v>
      </c>
      <c r="B151" s="156">
        <f>4228525/1000</f>
        <v>4228.5249999999996</v>
      </c>
      <c r="C151" s="58">
        <f t="shared" si="46"/>
        <v>5.3444583861709249</v>
      </c>
      <c r="D151" s="134"/>
      <c r="E151" s="156">
        <v>2807.1350923177865</v>
      </c>
      <c r="F151" s="58">
        <f>(E151/$E$143)*100</f>
        <v>3.3950300582121611</v>
      </c>
      <c r="G151" s="173"/>
      <c r="H151" s="156">
        <v>2439.7411855906093</v>
      </c>
      <c r="I151" s="58">
        <f>(H151/$H$143)*100</f>
        <v>2.8262981785584453</v>
      </c>
      <c r="J151" s="173"/>
      <c r="K151" s="58">
        <v>1747.8022450733299</v>
      </c>
      <c r="L151" s="58">
        <f t="shared" si="48"/>
        <v>1.7357614321518038</v>
      </c>
      <c r="M151" s="136"/>
      <c r="N151" s="58">
        <v>2250.6988143687909</v>
      </c>
      <c r="O151" s="58">
        <f t="shared" si="47"/>
        <v>1.9922913439078174</v>
      </c>
      <c r="P151" s="58"/>
      <c r="Q151" s="257"/>
    </row>
    <row r="152" spans="1:19" ht="15.75" customHeight="1" x14ac:dyDescent="0.25">
      <c r="A152" s="20" t="s">
        <v>15</v>
      </c>
      <c r="B152" s="156">
        <f>2891430/1000</f>
        <v>2891.43</v>
      </c>
      <c r="C152" s="58">
        <f t="shared" si="46"/>
        <v>3.6544959085085691</v>
      </c>
      <c r="D152" s="134"/>
      <c r="E152" s="156">
        <v>3301.292542170941</v>
      </c>
      <c r="F152" s="58">
        <f>(E152/$E$143)*100</f>
        <v>3.9926783154450209</v>
      </c>
      <c r="G152" s="173"/>
      <c r="H152" s="156">
        <v>4809.1014285141382</v>
      </c>
      <c r="I152" s="58">
        <f>(H152/$H$143)*100</f>
        <v>5.5710641309774847</v>
      </c>
      <c r="J152" s="173"/>
      <c r="K152" s="58">
        <v>8864.0479015713408</v>
      </c>
      <c r="L152" s="58">
        <f t="shared" si="48"/>
        <v>8.802982444760584</v>
      </c>
      <c r="M152" s="136"/>
      <c r="N152" s="58">
        <v>10417.862270421265</v>
      </c>
      <c r="O152" s="58">
        <f t="shared" si="47"/>
        <v>9.2217655649341026</v>
      </c>
      <c r="P152" s="58"/>
      <c r="Q152" s="257"/>
    </row>
    <row r="153" spans="1:19" ht="8.25" customHeight="1" x14ac:dyDescent="0.25">
      <c r="A153" s="20"/>
      <c r="B153" s="115"/>
      <c r="C153" s="58"/>
      <c r="D153" s="134"/>
      <c r="E153" s="115"/>
      <c r="F153" s="26"/>
      <c r="G153" s="173"/>
      <c r="H153" s="115"/>
      <c r="I153" s="26"/>
      <c r="J153" s="173"/>
      <c r="K153" s="136"/>
      <c r="L153" s="136"/>
      <c r="M153" s="136"/>
      <c r="N153" s="136"/>
      <c r="O153" s="173"/>
      <c r="P153" s="173"/>
      <c r="Q153" s="257"/>
    </row>
    <row r="154" spans="1:19" ht="15.75" customHeight="1" x14ac:dyDescent="0.25">
      <c r="A154" s="18" t="s">
        <v>16</v>
      </c>
      <c r="B154" s="267">
        <f>+B155</f>
        <v>168.965</v>
      </c>
      <c r="C154" s="59">
        <f>+C155</f>
        <v>0.21355588797970221</v>
      </c>
      <c r="D154" s="266"/>
      <c r="E154" s="267">
        <f>+E155</f>
        <v>227.03732171825396</v>
      </c>
      <c r="F154" s="59">
        <f>+F155</f>
        <v>0.2745854781548922</v>
      </c>
      <c r="G154" s="279"/>
      <c r="H154" s="267">
        <f>+H155</f>
        <v>216.82017740222221</v>
      </c>
      <c r="I154" s="59">
        <f>+I155</f>
        <v>0.25117355729610891</v>
      </c>
      <c r="J154" s="279"/>
      <c r="K154" s="243">
        <f>+K155</f>
        <v>257.95372143750001</v>
      </c>
      <c r="L154" s="272">
        <f>+L155</f>
        <v>0.25617664825259279</v>
      </c>
      <c r="M154" s="243"/>
      <c r="N154" s="243">
        <f>+N155</f>
        <v>291.3966204992592</v>
      </c>
      <c r="O154" s="59">
        <f>+O155</f>
        <v>0.25794076086874373</v>
      </c>
      <c r="P154" s="59"/>
      <c r="Q154" s="257"/>
    </row>
    <row r="155" spans="1:19" ht="15.75" customHeight="1" x14ac:dyDescent="0.25">
      <c r="A155" s="20" t="s">
        <v>18</v>
      </c>
      <c r="B155" s="156">
        <f>168965/1000</f>
        <v>168.965</v>
      </c>
      <c r="C155" s="58">
        <f>B155/B143*100</f>
        <v>0.21355588797970221</v>
      </c>
      <c r="D155" s="156"/>
      <c r="E155" s="156">
        <v>227.03732171825396</v>
      </c>
      <c r="F155" s="58">
        <f>(E155/$E$143)*100</f>
        <v>0.2745854781548922</v>
      </c>
      <c r="G155" s="156"/>
      <c r="H155" s="156">
        <v>216.82017740222221</v>
      </c>
      <c r="I155" s="58">
        <f>(H155/$H$143)*100</f>
        <v>0.25117355729610891</v>
      </c>
      <c r="J155" s="156"/>
      <c r="K155" s="58">
        <v>257.95372143750001</v>
      </c>
      <c r="L155" s="58">
        <f t="shared" ref="L155" si="49">(K155/$K$143)*100</f>
        <v>0.25617664825259279</v>
      </c>
      <c r="M155" s="156"/>
      <c r="N155" s="58">
        <v>291.3966204992592</v>
      </c>
      <c r="O155" s="58">
        <f>(N155/$N$143)*100</f>
        <v>0.25794076086874373</v>
      </c>
      <c r="P155" s="58"/>
      <c r="Q155" s="257"/>
    </row>
    <row r="156" spans="1:19" ht="25.5" customHeight="1" x14ac:dyDescent="0.25">
      <c r="A156" s="18" t="s">
        <v>21</v>
      </c>
      <c r="B156" s="267">
        <f>+SUM(B157:B159)</f>
        <v>2187.79</v>
      </c>
      <c r="C156" s="59">
        <f>+SUM(C157:C159)</f>
        <v>2.7651610461522371</v>
      </c>
      <c r="D156" s="266"/>
      <c r="E156" s="267">
        <f>+SUM(E157:E159)</f>
        <v>3094.701260287371</v>
      </c>
      <c r="F156" s="59">
        <f>+SUM(F157:F159)</f>
        <v>3.742820866945745</v>
      </c>
      <c r="G156" s="279"/>
      <c r="H156" s="267">
        <f>+SUM(H157:H159)</f>
        <v>2932.113801460202</v>
      </c>
      <c r="I156" s="59">
        <f>+SUM(I157:I159)</f>
        <v>3.3966831995693574</v>
      </c>
      <c r="J156" s="279"/>
      <c r="K156" s="267">
        <f>+SUM(K157:K159)</f>
        <v>2402.3499103819681</v>
      </c>
      <c r="L156" s="59">
        <f>+SUM(L157:L159)</f>
        <v>2.3857998424755493</v>
      </c>
      <c r="M156" s="136"/>
      <c r="N156" s="267">
        <f>+SUM(N157:N159)</f>
        <v>2987.1571517928896</v>
      </c>
      <c r="O156" s="59">
        <f>+SUM(O157:O159)</f>
        <v>2.6441953487580894</v>
      </c>
      <c r="P156" s="59"/>
      <c r="Q156" s="257"/>
    </row>
    <row r="157" spans="1:19" ht="15.75" customHeight="1" x14ac:dyDescent="0.25">
      <c r="A157" s="20" t="s">
        <v>22</v>
      </c>
      <c r="B157" s="156">
        <f>1576494/1000</f>
        <v>1576.4939999999999</v>
      </c>
      <c r="C157" s="58">
        <f>(B157/$B$143)*100</f>
        <v>1.9925403253021199</v>
      </c>
      <c r="D157" s="156"/>
      <c r="E157" s="156">
        <v>2394.804802812514</v>
      </c>
      <c r="F157" s="58">
        <f>(E157/$E$143)*100</f>
        <v>2.896345926261148</v>
      </c>
      <c r="G157" s="156"/>
      <c r="H157" s="156">
        <v>2285.4313784522978</v>
      </c>
      <c r="I157" s="58">
        <f>(H157/$H$143)*100</f>
        <v>2.6475392473142128</v>
      </c>
      <c r="J157" s="156"/>
      <c r="K157" s="58">
        <v>1867.52196780228</v>
      </c>
      <c r="L157" s="58">
        <f t="shared" ref="L157:L158" si="50">(K157/$K$143)*100</f>
        <v>1.854656391788442</v>
      </c>
      <c r="M157" s="156"/>
      <c r="N157" s="58">
        <v>2395.5032439886777</v>
      </c>
      <c r="O157" s="58">
        <f>(N157/$N$143)*100</f>
        <v>2.1204704720299055</v>
      </c>
      <c r="P157" s="58"/>
      <c r="Q157" s="257"/>
    </row>
    <row r="158" spans="1:19" ht="15.75" customHeight="1" x14ac:dyDescent="0.25">
      <c r="A158" s="20" t="s">
        <v>23</v>
      </c>
      <c r="B158" s="156">
        <f>611296/1000</f>
        <v>611.29600000000005</v>
      </c>
      <c r="C158" s="58">
        <f>(B158/$B$143)*100</f>
        <v>0.77262072085011724</v>
      </c>
      <c r="D158" s="156"/>
      <c r="E158" s="156">
        <v>699.89645747485713</v>
      </c>
      <c r="F158" s="58">
        <f>(E158/$E$143)*100</f>
        <v>0.84647494068459705</v>
      </c>
      <c r="G158" s="156"/>
      <c r="H158" s="156">
        <v>646.68242300790405</v>
      </c>
      <c r="I158" s="58">
        <f>(H158/$H$143)*100</f>
        <v>0.74914395225514463</v>
      </c>
      <c r="J158" s="156"/>
      <c r="K158" s="58">
        <v>534.82794257968806</v>
      </c>
      <c r="L158" s="58">
        <f t="shared" si="50"/>
        <v>0.53114345068710744</v>
      </c>
      <c r="M158" s="156"/>
      <c r="N158" s="58">
        <v>591.65390780421183</v>
      </c>
      <c r="O158" s="58">
        <f>(N158/$N$143)*100</f>
        <v>0.52372487672818402</v>
      </c>
      <c r="P158" s="58"/>
      <c r="Q158" s="257"/>
    </row>
    <row r="159" spans="1:19" ht="15.75" customHeight="1" x14ac:dyDescent="0.25">
      <c r="A159" s="20" t="s">
        <v>24</v>
      </c>
      <c r="B159" s="156" t="s">
        <v>72</v>
      </c>
      <c r="C159" s="58">
        <v>0</v>
      </c>
      <c r="D159" s="156"/>
      <c r="E159" s="156" t="s">
        <v>72</v>
      </c>
      <c r="F159" s="58">
        <v>0</v>
      </c>
      <c r="G159" s="156"/>
      <c r="H159" s="156" t="s">
        <v>72</v>
      </c>
      <c r="I159" s="58">
        <v>0</v>
      </c>
      <c r="J159" s="156"/>
      <c r="K159" s="156" t="s">
        <v>72</v>
      </c>
      <c r="L159" s="58">
        <v>0</v>
      </c>
      <c r="M159" s="156"/>
      <c r="N159" s="156" t="s">
        <v>72</v>
      </c>
      <c r="O159" s="58">
        <v>0</v>
      </c>
      <c r="P159" s="58"/>
      <c r="Q159" s="257"/>
    </row>
    <row r="160" spans="1:19" s="4" customFormat="1" ht="28.5" customHeight="1" x14ac:dyDescent="0.25">
      <c r="A160" s="104" t="s">
        <v>25</v>
      </c>
      <c r="B160" s="267">
        <f>+SUM(B161:B168)</f>
        <v>8096.9480000000012</v>
      </c>
      <c r="C160" s="59">
        <f>+SUM(C161:C168)</f>
        <v>10.233781671147717</v>
      </c>
      <c r="D160" s="267"/>
      <c r="E160" s="267">
        <f>+SUM(E161:E168)</f>
        <v>8031.4008623952568</v>
      </c>
      <c r="F160" s="59">
        <f>+SUM(F161:F168)</f>
        <v>9.7134075990868549</v>
      </c>
      <c r="G160" s="267"/>
      <c r="H160" s="267">
        <f>+SUM(H161:H168)</f>
        <v>7278.3596495750407</v>
      </c>
      <c r="I160" s="59">
        <f>+SUM(I161:I168)</f>
        <v>8.4315560773334521</v>
      </c>
      <c r="J160" s="267"/>
      <c r="K160" s="267">
        <f>+SUM(K161:K168)</f>
        <v>9609.5301590283907</v>
      </c>
      <c r="L160" s="59">
        <f>+SUM(L161:L168)</f>
        <v>9.5433289882524779</v>
      </c>
      <c r="M160" s="267"/>
      <c r="N160" s="267">
        <f>+SUM(N161:N168)</f>
        <v>11729.89376935453</v>
      </c>
      <c r="O160" s="59">
        <f>+SUM(O161:O168)</f>
        <v>10.383159964562925</v>
      </c>
      <c r="P160" s="59"/>
      <c r="Q160" s="265"/>
    </row>
    <row r="161" spans="1:17" ht="15.75" customHeight="1" x14ac:dyDescent="0.25">
      <c r="A161" s="105" t="s">
        <v>26</v>
      </c>
      <c r="B161" s="156">
        <f>1273205/1000</f>
        <v>1273.2049999999999</v>
      </c>
      <c r="C161" s="58">
        <f>+(B161/$B$143)*100</f>
        <v>1.6092115192803051</v>
      </c>
      <c r="D161" s="156"/>
      <c r="E161" s="156">
        <v>1332.65421345</v>
      </c>
      <c r="F161" s="58">
        <f t="shared" ref="F161:F167" si="51">+(E161/$E$143)*100</f>
        <v>1.6117504014137567</v>
      </c>
      <c r="G161" s="156"/>
      <c r="H161" s="156">
        <v>1335.9284603335195</v>
      </c>
      <c r="I161" s="58">
        <f t="shared" ref="I161:I167" si="52">+(H161/$H$143)*100</f>
        <v>1.5475953746343756</v>
      </c>
      <c r="J161" s="156"/>
      <c r="K161" s="58">
        <v>1552.11153114167</v>
      </c>
      <c r="L161" s="58">
        <f>+(K161/$K$143)*100</f>
        <v>1.5414188543056606</v>
      </c>
      <c r="M161" s="156"/>
      <c r="N161" s="58">
        <v>1891.8267118683032</v>
      </c>
      <c r="O161" s="58">
        <f>+(N161/$N$143)*100</f>
        <v>1.6746221032181268</v>
      </c>
      <c r="P161" s="58"/>
      <c r="Q161" s="257"/>
    </row>
    <row r="162" spans="1:17" ht="15.75" customHeight="1" x14ac:dyDescent="0.25">
      <c r="A162" s="105" t="s">
        <v>27</v>
      </c>
      <c r="B162" s="156">
        <f>439794/1000</f>
        <v>439.79399999999998</v>
      </c>
      <c r="C162" s="58">
        <f t="shared" ref="C162:C167" si="53">+(B162/$B$143)*100</f>
        <v>0.55585830318790963</v>
      </c>
      <c r="D162" s="156"/>
      <c r="E162" s="156">
        <v>526.87177581171431</v>
      </c>
      <c r="F162" s="58">
        <f t="shared" si="51"/>
        <v>0.63721390559350077</v>
      </c>
      <c r="G162" s="156"/>
      <c r="H162" s="156">
        <v>476.57291606214096</v>
      </c>
      <c r="I162" s="58">
        <f t="shared" si="52"/>
        <v>0.55208198827477317</v>
      </c>
      <c r="J162" s="156"/>
      <c r="K162" s="58">
        <v>555.10561646958695</v>
      </c>
      <c r="L162" s="58">
        <f t="shared" ref="L162:L167" si="54">+(K162/$K$143)*100</f>
        <v>0.55128142932344992</v>
      </c>
      <c r="M162" s="156"/>
      <c r="N162" s="58">
        <v>607.01883515576924</v>
      </c>
      <c r="O162" s="58">
        <f t="shared" ref="O162:O167" si="55">+(N162/$N$143)*100</f>
        <v>0.53732572441462367</v>
      </c>
      <c r="P162" s="58"/>
      <c r="Q162" s="257"/>
    </row>
    <row r="163" spans="1:17" ht="15.75" customHeight="1" x14ac:dyDescent="0.25">
      <c r="A163" s="105" t="s">
        <v>28</v>
      </c>
      <c r="B163" s="156">
        <f>2455234/1000</f>
        <v>2455.2339999999999</v>
      </c>
      <c r="C163" s="58">
        <f t="shared" si="53"/>
        <v>3.1031851393362899</v>
      </c>
      <c r="D163" s="156"/>
      <c r="E163" s="156">
        <v>2650.3963732801922</v>
      </c>
      <c r="F163" s="58">
        <f t="shared" si="51"/>
        <v>3.2054657355421985</v>
      </c>
      <c r="G163" s="156"/>
      <c r="H163" s="156">
        <v>1708.490843903779</v>
      </c>
      <c r="I163" s="58">
        <f t="shared" si="52"/>
        <v>1.9791872140897213</v>
      </c>
      <c r="J163" s="156"/>
      <c r="K163" s="58">
        <v>2909.4841996390801</v>
      </c>
      <c r="L163" s="58">
        <f t="shared" si="54"/>
        <v>2.8894404246383671</v>
      </c>
      <c r="M163" s="156"/>
      <c r="N163" s="58">
        <v>3213.2395254751077</v>
      </c>
      <c r="O163" s="58">
        <f t="shared" si="55"/>
        <v>2.8443207290273889</v>
      </c>
      <c r="P163" s="58"/>
      <c r="Q163" s="257"/>
    </row>
    <row r="164" spans="1:17" ht="15.75" customHeight="1" x14ac:dyDescent="0.25">
      <c r="A164" s="105" t="s">
        <v>134</v>
      </c>
      <c r="B164" s="156">
        <f>916880/1000</f>
        <v>916.88</v>
      </c>
      <c r="C164" s="58">
        <f t="shared" si="53"/>
        <v>1.1588501912871267</v>
      </c>
      <c r="D164" s="156"/>
      <c r="E164" s="156">
        <v>1060.8090354071428</v>
      </c>
      <c r="F164" s="58">
        <f t="shared" si="51"/>
        <v>1.2829730108416837</v>
      </c>
      <c r="G164" s="156"/>
      <c r="H164" s="156">
        <v>884.4184894697878</v>
      </c>
      <c r="I164" s="58">
        <f t="shared" si="52"/>
        <v>1.0245473497906155</v>
      </c>
      <c r="J164" s="156"/>
      <c r="K164" s="58">
        <v>1129.87767518089</v>
      </c>
      <c r="L164" s="58">
        <f t="shared" si="54"/>
        <v>1.1220938164809653</v>
      </c>
      <c r="M164" s="156"/>
      <c r="N164" s="58">
        <v>1569.9440520391622</v>
      </c>
      <c r="O164" s="58">
        <f t="shared" si="55"/>
        <v>1.3896954693933028</v>
      </c>
      <c r="P164" s="58"/>
      <c r="Q164" s="257"/>
    </row>
    <row r="165" spans="1:17" ht="15.75" customHeight="1" x14ac:dyDescent="0.25">
      <c r="A165" s="105" t="s">
        <v>30</v>
      </c>
      <c r="B165" s="156">
        <f>723819/1000</f>
        <v>723.81899999999996</v>
      </c>
      <c r="C165" s="58">
        <f t="shared" si="53"/>
        <v>0.91483922280697227</v>
      </c>
      <c r="D165" s="156"/>
      <c r="E165" s="156">
        <v>634.47612451876182</v>
      </c>
      <c r="F165" s="58">
        <f t="shared" si="51"/>
        <v>0.76735370515445922</v>
      </c>
      <c r="G165" s="156"/>
      <c r="H165" s="156">
        <v>558.51865070946519</v>
      </c>
      <c r="I165" s="58">
        <f t="shared" si="52"/>
        <v>0.64701135289026612</v>
      </c>
      <c r="J165" s="156"/>
      <c r="K165" s="58">
        <v>822.55509118432497</v>
      </c>
      <c r="L165" s="58">
        <f t="shared" si="54"/>
        <v>0.81688841350467489</v>
      </c>
      <c r="M165" s="156"/>
      <c r="N165" s="58">
        <v>1051.1092519479473</v>
      </c>
      <c r="O165" s="58">
        <f t="shared" si="55"/>
        <v>0.93042918527711216</v>
      </c>
      <c r="P165" s="58"/>
      <c r="Q165" s="257"/>
    </row>
    <row r="166" spans="1:17" ht="15.75" customHeight="1" x14ac:dyDescent="0.25">
      <c r="A166" s="105" t="s">
        <v>31</v>
      </c>
      <c r="B166" s="156">
        <f>1696336/1000</f>
        <v>1696.336</v>
      </c>
      <c r="C166" s="58">
        <f t="shared" si="53"/>
        <v>2.1440093557360171</v>
      </c>
      <c r="D166" s="156"/>
      <c r="E166" s="156">
        <v>1453.7331920729048</v>
      </c>
      <c r="F166" s="58">
        <f t="shared" si="51"/>
        <v>1.758186806618246</v>
      </c>
      <c r="G166" s="156"/>
      <c r="H166" s="156">
        <v>2019.32768880913</v>
      </c>
      <c r="I166" s="58">
        <f t="shared" si="52"/>
        <v>2.339273609226006</v>
      </c>
      <c r="J166" s="156"/>
      <c r="K166" s="58">
        <v>2271.6538491547499</v>
      </c>
      <c r="L166" s="58">
        <f t="shared" si="54"/>
        <v>2.2560041616130166</v>
      </c>
      <c r="M166" s="156"/>
      <c r="N166" s="58">
        <v>3024.8933613182762</v>
      </c>
      <c r="O166" s="58">
        <f t="shared" si="55"/>
        <v>2.6775989846019215</v>
      </c>
      <c r="P166" s="58"/>
      <c r="Q166" s="257"/>
    </row>
    <row r="167" spans="1:17" ht="15.75" customHeight="1" x14ac:dyDescent="0.25">
      <c r="A167" s="105" t="s">
        <v>32</v>
      </c>
      <c r="B167" s="156">
        <f>591680/1000</f>
        <v>591.67999999999995</v>
      </c>
      <c r="C167" s="58">
        <f t="shared" si="53"/>
        <v>0.74782793951309567</v>
      </c>
      <c r="D167" s="156"/>
      <c r="E167" s="156">
        <v>372.46014785454116</v>
      </c>
      <c r="F167" s="58">
        <f t="shared" si="51"/>
        <v>0.45046403392301065</v>
      </c>
      <c r="G167" s="156"/>
      <c r="H167" s="156">
        <v>295.10260028721882</v>
      </c>
      <c r="I167" s="58">
        <f t="shared" si="52"/>
        <v>0.34185918842769475</v>
      </c>
      <c r="J167" s="156"/>
      <c r="K167" s="58">
        <v>368.74219625809098</v>
      </c>
      <c r="L167" s="58">
        <f t="shared" si="54"/>
        <v>0.36620188838634427</v>
      </c>
      <c r="M167" s="156"/>
      <c r="N167" s="58">
        <v>371.86203154996548</v>
      </c>
      <c r="O167" s="58">
        <f t="shared" si="55"/>
        <v>0.32916776863044894</v>
      </c>
      <c r="P167" s="58"/>
      <c r="Q167" s="257"/>
    </row>
    <row r="168" spans="1:17" ht="15.75" customHeight="1" x14ac:dyDescent="0.25">
      <c r="A168" s="105" t="s">
        <v>147</v>
      </c>
      <c r="B168" s="159" t="s">
        <v>72</v>
      </c>
      <c r="C168" s="58">
        <v>0</v>
      </c>
      <c r="D168" s="156"/>
      <c r="E168" s="159" t="s">
        <v>72</v>
      </c>
      <c r="F168" s="58">
        <v>0</v>
      </c>
      <c r="G168" s="156"/>
      <c r="H168" s="159" t="s">
        <v>72</v>
      </c>
      <c r="I168" s="58">
        <v>0</v>
      </c>
      <c r="J168" s="156"/>
      <c r="K168" s="156" t="s">
        <v>72</v>
      </c>
      <c r="L168" s="58">
        <v>0</v>
      </c>
      <c r="M168" s="156"/>
      <c r="N168" s="156" t="s">
        <v>72</v>
      </c>
      <c r="O168" s="58">
        <v>0</v>
      </c>
      <c r="P168" s="58"/>
      <c r="Q168" s="257"/>
    </row>
    <row r="169" spans="1:17" ht="21" customHeight="1" x14ac:dyDescent="0.25">
      <c r="A169" s="18" t="s">
        <v>34</v>
      </c>
      <c r="B169" s="267">
        <f>+SUM(B170:B177)</f>
        <v>24185.58</v>
      </c>
      <c r="C169" s="59">
        <f>+SUM(C170:C177)</f>
        <v>30.568301205599543</v>
      </c>
      <c r="D169" s="267"/>
      <c r="E169" s="267">
        <f>+SUM(E170:E177)</f>
        <v>26000.811910613986</v>
      </c>
      <c r="F169" s="59">
        <f>+SUM(F170:F177)</f>
        <v>31.446131045146753</v>
      </c>
      <c r="G169" s="267"/>
      <c r="H169" s="267">
        <f>+SUM(H170:H177)</f>
        <v>27955.915017771324</v>
      </c>
      <c r="I169" s="59">
        <f>+SUM(I170:I177)</f>
        <v>32.385300605373317</v>
      </c>
      <c r="J169" s="173"/>
      <c r="K169" s="267">
        <f>+SUM(K170:K177)</f>
        <v>35203.183630927546</v>
      </c>
      <c r="L169" s="59">
        <f>+SUM(L170:L177)</f>
        <v>34.960664805049539</v>
      </c>
      <c r="M169" s="136"/>
      <c r="N169" s="267">
        <f>+SUM(N170:N177)</f>
        <v>40328.632560015983</v>
      </c>
      <c r="O169" s="59">
        <f>+SUM(O170:O177)</f>
        <v>35.698417330660021</v>
      </c>
      <c r="P169" s="59"/>
      <c r="Q169" s="257"/>
    </row>
    <row r="170" spans="1:17" ht="15.75" customHeight="1" x14ac:dyDescent="0.25">
      <c r="A170" s="20" t="s">
        <v>35</v>
      </c>
      <c r="B170" s="156">
        <f>5628300/1000</f>
        <v>5628.3</v>
      </c>
      <c r="C170" s="58">
        <f>(B170/$B$143)*100</f>
        <v>7.1136424958787803</v>
      </c>
      <c r="D170" s="156"/>
      <c r="E170" s="156">
        <v>5911.0667805491648</v>
      </c>
      <c r="F170" s="58">
        <f t="shared" ref="F170:F176" si="56">(E170/$E$143)*100</f>
        <v>7.1490144706551737</v>
      </c>
      <c r="G170" s="156"/>
      <c r="H170" s="156">
        <v>6315.3422989022965</v>
      </c>
      <c r="I170" s="58">
        <f t="shared" ref="I170:I176" si="57">(H170/$H$143)*100</f>
        <v>7.3159565210355684</v>
      </c>
      <c r="J170" s="156"/>
      <c r="K170" s="58">
        <v>7660.8783971787298</v>
      </c>
      <c r="L170" s="58">
        <f t="shared" ref="L170:L176" si="58">(K170/$K$143)*100</f>
        <v>7.6081017150025829</v>
      </c>
      <c r="M170" s="156"/>
      <c r="N170" s="58">
        <v>8818.7032031773833</v>
      </c>
      <c r="O170" s="58">
        <f>(N170/$N$143)*100</f>
        <v>7.8062093177535141</v>
      </c>
      <c r="P170" s="58"/>
      <c r="Q170" s="257"/>
    </row>
    <row r="171" spans="1:17" ht="15.75" customHeight="1" x14ac:dyDescent="0.25">
      <c r="A171" s="20" t="s">
        <v>148</v>
      </c>
      <c r="B171" s="156">
        <f>1047230/1000</f>
        <v>1047.23</v>
      </c>
      <c r="C171" s="58">
        <f t="shared" ref="C171:C176" si="59">(B171/$B$143)*100</f>
        <v>1.3236003466338211</v>
      </c>
      <c r="D171" s="156"/>
      <c r="E171" s="156">
        <v>1085.1878231163573</v>
      </c>
      <c r="F171" s="58">
        <f t="shared" si="56"/>
        <v>1.3124574190848288</v>
      </c>
      <c r="G171" s="156"/>
      <c r="H171" s="156">
        <v>1228.0993422681925</v>
      </c>
      <c r="I171" s="58">
        <f t="shared" si="57"/>
        <v>1.4226816166572882</v>
      </c>
      <c r="J171" s="156"/>
      <c r="K171" s="58">
        <v>1454.40203200421</v>
      </c>
      <c r="L171" s="58">
        <f t="shared" si="58"/>
        <v>1.4443824872705806</v>
      </c>
      <c r="M171" s="156"/>
      <c r="N171" s="58">
        <v>1630.8072239257474</v>
      </c>
      <c r="O171" s="58">
        <f>(N171/$N$143)*100</f>
        <v>1.4435708123482522</v>
      </c>
      <c r="P171" s="58"/>
      <c r="Q171" s="257"/>
    </row>
    <row r="172" spans="1:17" s="4" customFormat="1" ht="15.75" customHeight="1" x14ac:dyDescent="0.25">
      <c r="A172" s="20" t="s">
        <v>37</v>
      </c>
      <c r="B172" s="156">
        <f>3743393/1000</f>
        <v>3743.393</v>
      </c>
      <c r="C172" s="58">
        <f t="shared" si="59"/>
        <v>4.7312971098866718</v>
      </c>
      <c r="D172" s="156"/>
      <c r="E172" s="156">
        <v>3813.591409927772</v>
      </c>
      <c r="F172" s="58">
        <f t="shared" si="56"/>
        <v>4.6122673261706932</v>
      </c>
      <c r="G172" s="156"/>
      <c r="H172" s="156">
        <v>4480.6162657820996</v>
      </c>
      <c r="I172" s="58">
        <f t="shared" si="57"/>
        <v>5.1905331867132931</v>
      </c>
      <c r="J172" s="156"/>
      <c r="K172" s="58">
        <v>5215.4288106267504</v>
      </c>
      <c r="L172" s="58">
        <f t="shared" si="58"/>
        <v>5.1794991150383005</v>
      </c>
      <c r="M172" s="156"/>
      <c r="N172" s="58">
        <v>5047.2631502602608</v>
      </c>
      <c r="O172" s="58">
        <f t="shared" ref="O172:O176" si="60">(N172/$N$143)*100</f>
        <v>4.4677762393137082</v>
      </c>
      <c r="P172" s="58"/>
      <c r="Q172" s="257"/>
    </row>
    <row r="173" spans="1:17" ht="15.75" customHeight="1" x14ac:dyDescent="0.25">
      <c r="A173" s="20" t="s">
        <v>38</v>
      </c>
      <c r="B173" s="156">
        <f>299074/1000</f>
        <v>299.07400000000001</v>
      </c>
      <c r="C173" s="58">
        <f t="shared" si="59"/>
        <v>0.3780014419651494</v>
      </c>
      <c r="D173" s="156"/>
      <c r="E173" s="156">
        <v>375.53260011976187</v>
      </c>
      <c r="F173" s="58">
        <f t="shared" si="56"/>
        <v>0.45417994621429747</v>
      </c>
      <c r="G173" s="156"/>
      <c r="H173" s="156">
        <v>554.04040981035519</v>
      </c>
      <c r="I173" s="58">
        <f t="shared" si="57"/>
        <v>0.64182357142760393</v>
      </c>
      <c r="J173" s="156"/>
      <c r="K173" s="58">
        <v>629.41428450643696</v>
      </c>
      <c r="L173" s="58">
        <f t="shared" si="58"/>
        <v>0.6250781763046992</v>
      </c>
      <c r="M173" s="156"/>
      <c r="N173" s="58">
        <v>580.95186395254643</v>
      </c>
      <c r="O173" s="58">
        <f t="shared" si="60"/>
        <v>0.5142515570677858</v>
      </c>
      <c r="P173" s="58"/>
      <c r="Q173" s="257"/>
    </row>
    <row r="174" spans="1:17" ht="15.75" customHeight="1" x14ac:dyDescent="0.25">
      <c r="A174" s="20" t="s">
        <v>39</v>
      </c>
      <c r="B174" s="156">
        <f>1801633/1000</f>
        <v>1801.633</v>
      </c>
      <c r="C174" s="58">
        <f t="shared" si="59"/>
        <v>2.2770948724797138</v>
      </c>
      <c r="D174" s="156"/>
      <c r="E174" s="156">
        <v>3601.7814698999996</v>
      </c>
      <c r="F174" s="58">
        <f t="shared" si="56"/>
        <v>4.3560982821548402</v>
      </c>
      <c r="G174" s="156"/>
      <c r="H174" s="156">
        <v>4448.2848299175002</v>
      </c>
      <c r="I174" s="58">
        <f t="shared" si="57"/>
        <v>5.1530790998478553</v>
      </c>
      <c r="J174" s="156"/>
      <c r="K174" s="58">
        <v>5997.32027551994</v>
      </c>
      <c r="L174" s="58">
        <f t="shared" si="58"/>
        <v>5.9560040387022086</v>
      </c>
      <c r="M174" s="156"/>
      <c r="N174" s="58">
        <v>7121.9857390913648</v>
      </c>
      <c r="O174" s="58">
        <f t="shared" si="60"/>
        <v>6.3042955587133829</v>
      </c>
      <c r="P174" s="58"/>
      <c r="Q174" s="257"/>
    </row>
    <row r="175" spans="1:17" ht="15.75" customHeight="1" x14ac:dyDescent="0.25">
      <c r="A175" s="20" t="s">
        <v>40</v>
      </c>
      <c r="B175" s="156">
        <f>8402662/1000</f>
        <v>8402.6620000000003</v>
      </c>
      <c r="C175" s="58">
        <f t="shared" si="59"/>
        <v>10.620175449372951</v>
      </c>
      <c r="D175" s="156"/>
      <c r="E175" s="156">
        <v>6688.0255495723568</v>
      </c>
      <c r="F175" s="58">
        <f t="shared" si="56"/>
        <v>8.0886907912013601</v>
      </c>
      <c r="G175" s="156"/>
      <c r="H175" s="156">
        <v>5516.0356367034728</v>
      </c>
      <c r="I175" s="58">
        <f t="shared" si="57"/>
        <v>6.3900062699087083</v>
      </c>
      <c r="J175" s="156"/>
      <c r="K175" s="58">
        <v>7436.5382293860202</v>
      </c>
      <c r="L175" s="58">
        <f t="shared" si="58"/>
        <v>7.3853070527147384</v>
      </c>
      <c r="M175" s="156"/>
      <c r="N175" s="58">
        <v>8773.8863546671237</v>
      </c>
      <c r="O175" s="58">
        <f t="shared" si="60"/>
        <v>7.7665379859972656</v>
      </c>
      <c r="P175" s="58"/>
      <c r="Q175" s="257"/>
    </row>
    <row r="176" spans="1:17" ht="15.75" customHeight="1" x14ac:dyDescent="0.25">
      <c r="A176" s="20" t="s">
        <v>41</v>
      </c>
      <c r="B176" s="156">
        <f>3263288/1000</f>
        <v>3263.288</v>
      </c>
      <c r="C176" s="58">
        <f t="shared" si="59"/>
        <v>4.1244894893824551</v>
      </c>
      <c r="D176" s="156"/>
      <c r="E176" s="156">
        <v>4525.6262774285715</v>
      </c>
      <c r="F176" s="58">
        <f t="shared" si="56"/>
        <v>5.4734228096655597</v>
      </c>
      <c r="G176" s="156"/>
      <c r="H176" s="156">
        <v>5413.4962343874058</v>
      </c>
      <c r="I176" s="58">
        <f t="shared" si="57"/>
        <v>6.2712203397830031</v>
      </c>
      <c r="J176" s="156"/>
      <c r="K176" s="58">
        <v>6809.2016017054602</v>
      </c>
      <c r="L176" s="58">
        <f t="shared" si="58"/>
        <v>6.7622922200164277</v>
      </c>
      <c r="M176" s="156"/>
      <c r="N176" s="58">
        <v>8355.0350249415587</v>
      </c>
      <c r="O176" s="58">
        <f t="shared" si="60"/>
        <v>7.3957758594661112</v>
      </c>
      <c r="P176" s="58"/>
      <c r="Q176" s="257"/>
    </row>
    <row r="177" spans="1:174" ht="15.75" customHeight="1" x14ac:dyDescent="0.25">
      <c r="A177" s="20" t="s">
        <v>42</v>
      </c>
      <c r="B177" s="156" t="s">
        <v>72</v>
      </c>
      <c r="C177" s="58">
        <v>0</v>
      </c>
      <c r="D177" s="156"/>
      <c r="E177" s="156" t="s">
        <v>72</v>
      </c>
      <c r="F177" s="58">
        <v>0</v>
      </c>
      <c r="G177" s="156"/>
      <c r="H177" s="156" t="s">
        <v>72</v>
      </c>
      <c r="I177" s="58">
        <v>0</v>
      </c>
      <c r="J177" s="156"/>
      <c r="K177" s="156" t="s">
        <v>72</v>
      </c>
      <c r="L177" s="58">
        <v>0</v>
      </c>
      <c r="M177" s="156"/>
      <c r="N177" s="156" t="s">
        <v>72</v>
      </c>
      <c r="O177" s="58">
        <v>0</v>
      </c>
      <c r="P177" s="58"/>
      <c r="Q177" s="257"/>
    </row>
    <row r="178" spans="1:174" ht="15.75" customHeight="1" x14ac:dyDescent="0.25">
      <c r="A178" s="18" t="s">
        <v>112</v>
      </c>
      <c r="B178" s="97">
        <f>+SUM(B179:B182)</f>
        <v>7725.3240000000005</v>
      </c>
      <c r="C178" s="26">
        <f>C179+C181+C180</f>
        <v>9.7640838442926352</v>
      </c>
      <c r="D178" s="97"/>
      <c r="E178" s="97">
        <f>+SUM(E179:E182)</f>
        <v>5923.0417417053859</v>
      </c>
      <c r="F178" s="26">
        <f>F179+F180+F181</f>
        <v>7.163497333693206</v>
      </c>
      <c r="G178" s="97"/>
      <c r="H178" s="97">
        <f>+SUM(H179:H182)</f>
        <v>5666.1049357066304</v>
      </c>
      <c r="I178" s="26">
        <f>I179+I180+I181</f>
        <v>6.5638528192620527</v>
      </c>
      <c r="J178" s="97"/>
      <c r="K178" s="97">
        <f>+SUM(K179:K182)</f>
        <v>6135.4379770768937</v>
      </c>
      <c r="L178" s="26">
        <f>(K178/$K$143)*100</f>
        <v>6.0931702313511691</v>
      </c>
      <c r="M178" s="97"/>
      <c r="N178" s="97">
        <f>+SUM(N179:N182)</f>
        <v>6053.8576679806947</v>
      </c>
      <c r="O178" s="26">
        <f>(N178/$N$143)*100</f>
        <v>5.3588015207403163</v>
      </c>
      <c r="P178" s="26"/>
      <c r="Q178" s="257"/>
    </row>
    <row r="179" spans="1:174" ht="15.75" customHeight="1" x14ac:dyDescent="0.25">
      <c r="A179" s="167" t="s">
        <v>44</v>
      </c>
      <c r="B179" s="156">
        <f>6140667/1000</f>
        <v>6140.6670000000004</v>
      </c>
      <c r="C179" s="58">
        <f>(B179/$B$143)*100</f>
        <v>7.7612262537960772</v>
      </c>
      <c r="D179" s="156"/>
      <c r="E179" s="156">
        <v>4345.8984620687806</v>
      </c>
      <c r="F179" s="58">
        <f>(E179/$E$143)*100</f>
        <v>5.2560548115549013</v>
      </c>
      <c r="G179" s="156"/>
      <c r="H179" s="156">
        <v>4016.9342647945596</v>
      </c>
      <c r="I179" s="58">
        <f>(H179/$H$143)*100</f>
        <v>4.6533845733433967</v>
      </c>
      <c r="J179" s="156"/>
      <c r="K179" s="58">
        <v>3918.9318480566699</v>
      </c>
      <c r="L179" s="58">
        <f>(K179/$K$143)*100</f>
        <v>3.8919338708154392</v>
      </c>
      <c r="M179" s="156"/>
      <c r="N179" s="58">
        <v>3707.7557209879924</v>
      </c>
      <c r="O179" s="58">
        <f>(N179/$N$143)*100</f>
        <v>3.2820604787676717</v>
      </c>
      <c r="P179" s="58"/>
      <c r="Q179" s="257"/>
    </row>
    <row r="180" spans="1:174" ht="15.75" customHeight="1" x14ac:dyDescent="0.25">
      <c r="A180" s="167" t="s">
        <v>149</v>
      </c>
      <c r="B180" s="156">
        <f>703392/1000</f>
        <v>703.39200000000005</v>
      </c>
      <c r="C180" s="58">
        <f t="shared" ref="C180:C181" si="61">(B180/$B$143)*100</f>
        <v>0.88902141365264242</v>
      </c>
      <c r="D180" s="156"/>
      <c r="E180" s="156">
        <v>672.02228642119053</v>
      </c>
      <c r="F180" s="58">
        <f>(E180/$E$143)*100</f>
        <v>0.81276311511769561</v>
      </c>
      <c r="G180" s="156"/>
      <c r="H180" s="156">
        <v>700.43503050438778</v>
      </c>
      <c r="I180" s="58">
        <f>(H180/$H$143)*100</f>
        <v>0.81141321981407311</v>
      </c>
      <c r="J180" s="156"/>
      <c r="K180" s="58">
        <v>665.48451323013296</v>
      </c>
      <c r="L180" s="58">
        <f>(K180/$K$143)*100</f>
        <v>0.66089991302804274</v>
      </c>
      <c r="M180" s="156"/>
      <c r="N180" s="58">
        <v>656.44576293581406</v>
      </c>
      <c r="O180" s="58">
        <f>(N180/$N$143)*100</f>
        <v>0.58107784253166139</v>
      </c>
      <c r="P180" s="58"/>
      <c r="Q180" s="257"/>
    </row>
    <row r="181" spans="1:174" ht="15.75" customHeight="1" x14ac:dyDescent="0.25">
      <c r="A181" s="167" t="s">
        <v>150</v>
      </c>
      <c r="B181" s="156">
        <f>881265/1000</f>
        <v>881.26499999999999</v>
      </c>
      <c r="C181" s="58">
        <f t="shared" si="61"/>
        <v>1.113836176843916</v>
      </c>
      <c r="D181" s="156"/>
      <c r="E181" s="156">
        <v>905.12099321541507</v>
      </c>
      <c r="F181" s="58">
        <f>(E181/$E$143)*100</f>
        <v>1.0946794070206098</v>
      </c>
      <c r="G181" s="156"/>
      <c r="H181" s="156">
        <v>948.73564040768269</v>
      </c>
      <c r="I181" s="58">
        <f>(H181/$H$143)*100</f>
        <v>1.0990550261045833</v>
      </c>
      <c r="J181" s="156"/>
      <c r="K181" s="58">
        <v>1551.02161579009</v>
      </c>
      <c r="L181" s="58">
        <f>(K181/$K$143)*100</f>
        <v>1.5403364475076862</v>
      </c>
      <c r="M181" s="156"/>
      <c r="N181" s="58">
        <v>1689.6561840568886</v>
      </c>
      <c r="O181" s="58">
        <f>(N181/$N$143)*100</f>
        <v>1.495663199440983</v>
      </c>
      <c r="P181" s="58"/>
      <c r="Q181" s="257"/>
    </row>
    <row r="182" spans="1:174" ht="15.75" customHeight="1" x14ac:dyDescent="0.25">
      <c r="A182" s="20" t="s">
        <v>47</v>
      </c>
      <c r="B182" s="156" t="s">
        <v>72</v>
      </c>
      <c r="C182" s="58">
        <v>0</v>
      </c>
      <c r="D182" s="156"/>
      <c r="E182" s="156" t="s">
        <v>72</v>
      </c>
      <c r="F182" s="58">
        <v>0</v>
      </c>
      <c r="G182" s="156"/>
      <c r="H182" s="156" t="s">
        <v>72</v>
      </c>
      <c r="I182" s="58">
        <v>0</v>
      </c>
      <c r="J182" s="156"/>
      <c r="K182" s="156" t="s">
        <v>72</v>
      </c>
      <c r="L182" s="58">
        <v>0</v>
      </c>
      <c r="M182" s="156"/>
      <c r="N182" s="156" t="s">
        <v>72</v>
      </c>
      <c r="O182" s="58">
        <v>0</v>
      </c>
      <c r="P182" s="58"/>
      <c r="Q182" s="25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</row>
    <row r="183" spans="1:174" ht="15.75" customHeight="1" x14ac:dyDescent="0.25">
      <c r="A183" s="204" t="s">
        <v>48</v>
      </c>
      <c r="B183" s="97">
        <f>+SUM(B184:B186)</f>
        <v>9218.1260000000002</v>
      </c>
      <c r="C183" s="26">
        <f>C184</f>
        <v>11.650845343347916</v>
      </c>
      <c r="D183" s="97"/>
      <c r="E183" s="97">
        <f>+SUM(E184:E186)</f>
        <v>9990.9481107129759</v>
      </c>
      <c r="F183" s="26">
        <f>F184</f>
        <v>12.083340498551479</v>
      </c>
      <c r="G183" s="97"/>
      <c r="H183" s="97">
        <f>+SUM(H184:H186)</f>
        <v>11553.691172153067</v>
      </c>
      <c r="I183" s="26">
        <f>I184</f>
        <v>13.384278835944693</v>
      </c>
      <c r="J183" s="97"/>
      <c r="K183" s="97">
        <f>+SUM(K184:K186)</f>
        <v>14082.7593027975</v>
      </c>
      <c r="L183" s="26">
        <f>L184</f>
        <v>13.985741536249915</v>
      </c>
      <c r="M183" s="97"/>
      <c r="N183" s="97">
        <f>+SUM(N184:N186)</f>
        <v>14683.560702267354</v>
      </c>
      <c r="O183" s="26">
        <f>O184</f>
        <v>12.99771017699519</v>
      </c>
      <c r="P183" s="26"/>
      <c r="Q183" s="265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</row>
    <row r="184" spans="1:174" ht="15.75" customHeight="1" x14ac:dyDescent="0.25">
      <c r="A184" s="20" t="s">
        <v>49</v>
      </c>
      <c r="B184" s="156">
        <f>9218126/1000</f>
        <v>9218.1260000000002</v>
      </c>
      <c r="C184" s="58">
        <f>(B184/$B$143)*100</f>
        <v>11.650845343347916</v>
      </c>
      <c r="D184" s="156"/>
      <c r="E184" s="156">
        <v>9990.9481107129759</v>
      </c>
      <c r="F184" s="58">
        <f>(E184/$E$143)*100</f>
        <v>12.083340498551479</v>
      </c>
      <c r="G184" s="156"/>
      <c r="H184" s="156">
        <v>11553.691172153067</v>
      </c>
      <c r="I184" s="58">
        <f>(H184/$H$143)*100</f>
        <v>13.384278835944693</v>
      </c>
      <c r="J184" s="156"/>
      <c r="K184" s="58">
        <v>14082.7593027975</v>
      </c>
      <c r="L184" s="58">
        <f>(K184/$K$143)*100</f>
        <v>13.985741536249915</v>
      </c>
      <c r="M184" s="156"/>
      <c r="N184" s="58">
        <v>14683.560702267354</v>
      </c>
      <c r="O184" s="58">
        <f>(N184/$N$143)*100</f>
        <v>12.99771017699519</v>
      </c>
      <c r="P184" s="58"/>
      <c r="Q184" s="257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</row>
    <row r="185" spans="1:174" ht="15.75" customHeight="1" x14ac:dyDescent="0.25">
      <c r="A185" s="20" t="s">
        <v>140</v>
      </c>
      <c r="B185" s="156" t="s">
        <v>72</v>
      </c>
      <c r="C185" s="58">
        <v>0</v>
      </c>
      <c r="D185" s="156"/>
      <c r="E185" s="156" t="s">
        <v>72</v>
      </c>
      <c r="F185" s="58">
        <v>0</v>
      </c>
      <c r="G185" s="156"/>
      <c r="H185" s="156" t="s">
        <v>72</v>
      </c>
      <c r="I185" s="58">
        <v>0</v>
      </c>
      <c r="J185" s="156"/>
      <c r="K185" s="156" t="s">
        <v>72</v>
      </c>
      <c r="L185" s="58">
        <v>0</v>
      </c>
      <c r="M185" s="156"/>
      <c r="N185" s="156" t="s">
        <v>72</v>
      </c>
      <c r="O185" s="58">
        <v>0</v>
      </c>
      <c r="P185" s="58"/>
      <c r="Q185" s="257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</row>
    <row r="186" spans="1:174" ht="15.75" customHeight="1" x14ac:dyDescent="0.25">
      <c r="A186" s="20" t="s">
        <v>142</v>
      </c>
      <c r="B186" s="156" t="s">
        <v>72</v>
      </c>
      <c r="C186" s="58">
        <v>0</v>
      </c>
      <c r="D186" s="156"/>
      <c r="E186" s="156" t="s">
        <v>72</v>
      </c>
      <c r="F186" s="58">
        <v>0</v>
      </c>
      <c r="G186" s="156"/>
      <c r="H186" s="156" t="s">
        <v>72</v>
      </c>
      <c r="I186" s="58">
        <v>0</v>
      </c>
      <c r="J186" s="156"/>
      <c r="K186" s="156" t="s">
        <v>72</v>
      </c>
      <c r="L186" s="58">
        <v>0</v>
      </c>
      <c r="M186" s="156"/>
      <c r="N186" s="156" t="s">
        <v>72</v>
      </c>
      <c r="O186" s="58">
        <v>0</v>
      </c>
      <c r="P186" s="58"/>
      <c r="Q186" s="25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</row>
    <row r="187" spans="1:174" s="264" customFormat="1" ht="15.75" customHeight="1" x14ac:dyDescent="0.25">
      <c r="A187" s="104" t="s">
        <v>52</v>
      </c>
      <c r="B187" s="97">
        <f>+SUM(B188:B192)</f>
        <v>58858.239000000001</v>
      </c>
      <c r="C187" s="97">
        <f>C188+C189+C190+C191+C192</f>
        <v>100</v>
      </c>
      <c r="D187" s="97"/>
      <c r="E187" s="97">
        <f>+SUM(E188:E192)</f>
        <v>61324.340069797472</v>
      </c>
      <c r="F187" s="97">
        <f>F188+F189+F190+F191+F192</f>
        <v>99.999999999999986</v>
      </c>
      <c r="G187" s="97"/>
      <c r="H187" s="97">
        <f>+SUM(H188:H192)</f>
        <v>66024.11625745034</v>
      </c>
      <c r="I187" s="97">
        <f>I188+I189+I190+I191+I192</f>
        <v>99.999999999999986</v>
      </c>
      <c r="J187" s="97"/>
      <c r="K187" s="126">
        <f>+SUM(K188:K192)</f>
        <v>71279.396937160083</v>
      </c>
      <c r="L187" s="97">
        <f>L188+L189+L190+L191+L192</f>
        <v>100</v>
      </c>
      <c r="M187" s="97"/>
      <c r="N187" s="126">
        <f>+SUM(N188:N192)</f>
        <v>74965.218314329031</v>
      </c>
      <c r="O187" s="97">
        <f>O188+O189+O190+O191+O192</f>
        <v>100</v>
      </c>
      <c r="P187" s="97"/>
      <c r="Q187" s="276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</row>
    <row r="188" spans="1:174" ht="15.75" customHeight="1" x14ac:dyDescent="0.25">
      <c r="A188" s="20" t="s">
        <v>123</v>
      </c>
      <c r="B188" s="156">
        <f>18824274/1000</f>
        <v>18824.274000000001</v>
      </c>
      <c r="C188" s="58">
        <f>(B188/$B$187)*100</f>
        <v>31.982394172547369</v>
      </c>
      <c r="D188" s="156"/>
      <c r="E188" s="156">
        <v>20195.759186581723</v>
      </c>
      <c r="F188" s="58">
        <f>(E188/$E$187)*100</f>
        <v>32.932697137214248</v>
      </c>
      <c r="G188" s="156"/>
      <c r="H188" s="156">
        <v>22375.445469343154</v>
      </c>
      <c r="I188" s="58">
        <f>(H188/$H$187)*100</f>
        <v>33.889806842841686</v>
      </c>
      <c r="J188" s="156"/>
      <c r="K188" s="58">
        <v>24447.491101523599</v>
      </c>
      <c r="L188" s="58">
        <f>(K188/$K$187)*100</f>
        <v>34.298117200790159</v>
      </c>
      <c r="M188" s="156"/>
      <c r="N188" s="58">
        <v>25791.714153843375</v>
      </c>
      <c r="O188" s="58">
        <f>(N188/$N$187)*100</f>
        <v>34.404907680917788</v>
      </c>
      <c r="P188" s="58"/>
      <c r="Q188" s="25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</row>
    <row r="189" spans="1:174" s="166" customFormat="1" ht="15.75" customHeight="1" x14ac:dyDescent="0.25">
      <c r="A189" s="20" t="s">
        <v>124</v>
      </c>
      <c r="B189" s="156">
        <f>9421557/1000</f>
        <v>9421.5570000000007</v>
      </c>
      <c r="C189" s="58">
        <f>(B189/$B$187)*100</f>
        <v>16.007201642577176</v>
      </c>
      <c r="D189" s="156"/>
      <c r="E189" s="156">
        <v>8517.8849003740743</v>
      </c>
      <c r="F189" s="58">
        <f>(E189/$E$187)*100</f>
        <v>13.889892480994137</v>
      </c>
      <c r="G189" s="156"/>
      <c r="H189" s="156">
        <v>8387.1291318958993</v>
      </c>
      <c r="I189" s="58">
        <f>(H189/$H$187)*100</f>
        <v>12.703129715802101</v>
      </c>
      <c r="J189" s="156"/>
      <c r="K189" s="58">
        <v>9055.0373418341605</v>
      </c>
      <c r="L189" s="58">
        <f t="shared" ref="L189:L192" si="62">(K189/$K$187)*100</f>
        <v>12.703582986002369</v>
      </c>
      <c r="M189" s="156"/>
      <c r="N189" s="58">
        <v>9293.987599831702</v>
      </c>
      <c r="O189" s="58">
        <f t="shared" ref="O189:O192" si="63">(N189/$N$187)*100</f>
        <v>12.397732987132818</v>
      </c>
      <c r="P189" s="58"/>
      <c r="Q189" s="257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76"/>
      <c r="BQ189" s="176"/>
      <c r="BR189" s="176"/>
      <c r="BS189" s="176"/>
      <c r="BT189" s="176"/>
      <c r="BU189" s="176"/>
      <c r="BV189" s="176"/>
      <c r="BW189" s="176"/>
      <c r="BX189" s="176"/>
      <c r="BY189" s="176"/>
      <c r="BZ189" s="176"/>
      <c r="CA189" s="176"/>
      <c r="CB189" s="176"/>
      <c r="CC189" s="176"/>
      <c r="CD189" s="176"/>
      <c r="CE189" s="176"/>
      <c r="CF189" s="176"/>
      <c r="CG189" s="176"/>
      <c r="CH189" s="176"/>
      <c r="CI189" s="176"/>
      <c r="CJ189" s="176"/>
      <c r="CK189" s="176"/>
      <c r="CL189" s="176"/>
      <c r="CM189" s="176"/>
      <c r="CN189" s="176"/>
      <c r="CO189" s="176"/>
      <c r="CP189" s="176"/>
      <c r="CQ189" s="176"/>
      <c r="CR189" s="176"/>
      <c r="CS189" s="176"/>
      <c r="CT189" s="176"/>
      <c r="CU189" s="176"/>
      <c r="CV189" s="176"/>
      <c r="CW189" s="176"/>
      <c r="CX189" s="176"/>
      <c r="CY189" s="176"/>
      <c r="CZ189" s="176"/>
      <c r="DA189" s="176"/>
      <c r="DB189" s="176"/>
      <c r="DC189" s="176"/>
      <c r="DD189" s="176"/>
      <c r="DE189" s="176"/>
      <c r="DF189" s="176"/>
      <c r="DG189" s="176"/>
      <c r="DH189" s="176"/>
      <c r="DI189" s="176"/>
      <c r="DJ189" s="176"/>
      <c r="DK189" s="176"/>
      <c r="DL189" s="176"/>
      <c r="DM189" s="176"/>
      <c r="DN189" s="176"/>
      <c r="DO189" s="176"/>
      <c r="DP189" s="176"/>
      <c r="DQ189" s="176"/>
      <c r="DR189" s="176"/>
    </row>
    <row r="190" spans="1:174" ht="15.75" customHeight="1" x14ac:dyDescent="0.25">
      <c r="A190" s="20" t="s">
        <v>56</v>
      </c>
      <c r="B190" s="156">
        <f>15264485/1000</f>
        <v>15264.485000000001</v>
      </c>
      <c r="C190" s="58">
        <f>(B190/$B$187)*100</f>
        <v>25.934321616384072</v>
      </c>
      <c r="D190" s="156"/>
      <c r="E190" s="156">
        <v>16720.654963023655</v>
      </c>
      <c r="F190" s="58">
        <f>(E190/$E$187)*100</f>
        <v>27.265935424649857</v>
      </c>
      <c r="G190" s="156"/>
      <c r="H190" s="156">
        <v>18275.850646042916</v>
      </c>
      <c r="I190" s="58">
        <f>(H190/$H$187)*100</f>
        <v>27.680568377135405</v>
      </c>
      <c r="J190" s="156"/>
      <c r="K190" s="58">
        <v>19856.607733585701</v>
      </c>
      <c r="L190" s="58">
        <f t="shared" si="62"/>
        <v>27.857429477260148</v>
      </c>
      <c r="M190" s="156"/>
      <c r="N190" s="58">
        <v>19711.427678350159</v>
      </c>
      <c r="O190" s="58">
        <f t="shared" si="63"/>
        <v>26.294097611641941</v>
      </c>
      <c r="P190" s="58"/>
      <c r="Q190" s="257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</row>
    <row r="191" spans="1:174" ht="15.75" customHeight="1" x14ac:dyDescent="0.25">
      <c r="A191" s="20" t="s">
        <v>57</v>
      </c>
      <c r="B191" s="156">
        <f>8859136/1000</f>
        <v>8859.1360000000004</v>
      </c>
      <c r="C191" s="58">
        <f>(B191/$B$187)*100</f>
        <v>15.051649778376822</v>
      </c>
      <c r="D191" s="156"/>
      <c r="E191" s="156">
        <v>9288.9674906804848</v>
      </c>
      <c r="F191" s="58">
        <f>(E191/$E$187)*100</f>
        <v>15.147276725861328</v>
      </c>
      <c r="G191" s="156"/>
      <c r="H191" s="156">
        <v>10340.815232006698</v>
      </c>
      <c r="I191" s="58">
        <f>(H191/$H$187)*100</f>
        <v>15.662178940319876</v>
      </c>
      <c r="J191" s="156"/>
      <c r="K191" s="58">
        <v>11174.328199518901</v>
      </c>
      <c r="L191" s="58">
        <f t="shared" si="62"/>
        <v>15.676799579786271</v>
      </c>
      <c r="M191" s="156"/>
      <c r="N191" s="58">
        <v>12949.168951194619</v>
      </c>
      <c r="O191" s="58">
        <f t="shared" si="63"/>
        <v>17.273569319706077</v>
      </c>
      <c r="P191" s="58"/>
      <c r="Q191" s="25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</row>
    <row r="192" spans="1:174" ht="15.75" customHeight="1" x14ac:dyDescent="0.25">
      <c r="A192" s="20" t="s">
        <v>58</v>
      </c>
      <c r="B192" s="156">
        <f>6488787/1000</f>
        <v>6488.7870000000003</v>
      </c>
      <c r="C192" s="58">
        <f>(B192/$B$187)*100</f>
        <v>11.024432790114567</v>
      </c>
      <c r="D192" s="156"/>
      <c r="E192" s="156">
        <v>6601.0735291375295</v>
      </c>
      <c r="F192" s="58">
        <f>(E192/$E$187)*100</f>
        <v>10.764198231280419</v>
      </c>
      <c r="G192" s="156"/>
      <c r="H192" s="156">
        <v>6644.8757781616669</v>
      </c>
      <c r="I192" s="58">
        <f>(H192/$H$187)*100</f>
        <v>10.064316123900925</v>
      </c>
      <c r="J192" s="156"/>
      <c r="K192" s="58">
        <v>6745.93256069772</v>
      </c>
      <c r="L192" s="58">
        <f t="shared" si="62"/>
        <v>9.4640707561610462</v>
      </c>
      <c r="M192" s="156"/>
      <c r="N192" s="58">
        <v>7218.9199311091779</v>
      </c>
      <c r="O192" s="58">
        <f t="shared" si="63"/>
        <v>9.6296924006013818</v>
      </c>
      <c r="P192" s="58"/>
      <c r="Q192" s="257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</row>
    <row r="193" spans="1:122" ht="26.25" customHeight="1" x14ac:dyDescent="0.25">
      <c r="A193" s="268" t="s">
        <v>61</v>
      </c>
      <c r="B193" s="267">
        <f>+SUM(B194:B195)</f>
        <v>1889.3820000000001</v>
      </c>
      <c r="C193" s="267">
        <f>C194+C195</f>
        <v>100</v>
      </c>
      <c r="D193" s="267"/>
      <c r="E193" s="267">
        <f>+SUM(E194:E195)</f>
        <v>2014.9994023541633</v>
      </c>
      <c r="F193" s="267">
        <f>F194+F195</f>
        <v>100</v>
      </c>
      <c r="G193" s="267"/>
      <c r="H193" s="267">
        <f>+SUM(H194:H195)</f>
        <v>2212.1298616313043</v>
      </c>
      <c r="I193" s="267">
        <f>I194+I195</f>
        <v>100.00000000000001</v>
      </c>
      <c r="J193" s="267"/>
      <c r="K193" s="267">
        <f>+SUM(K194:K195)</f>
        <v>2322.2059547216782</v>
      </c>
      <c r="L193" s="267">
        <f>L194+L195</f>
        <v>100</v>
      </c>
      <c r="M193" s="267"/>
      <c r="N193" s="267">
        <f>+SUM(N194:N195)</f>
        <v>2413.1913399474652</v>
      </c>
      <c r="O193" s="267">
        <f>O194+O195</f>
        <v>100.00000000000001</v>
      </c>
      <c r="P193" s="267"/>
      <c r="Q193" s="276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</row>
    <row r="194" spans="1:122" ht="15.75" customHeight="1" x14ac:dyDescent="0.25">
      <c r="A194" s="20" t="s">
        <v>143</v>
      </c>
      <c r="B194" s="156">
        <f>275365/1000</f>
        <v>275.36500000000001</v>
      </c>
      <c r="C194" s="58">
        <f>(B194/$B$193)*100</f>
        <v>14.574342298169455</v>
      </c>
      <c r="D194" s="156"/>
      <c r="E194" s="156">
        <v>278.87433909743027</v>
      </c>
      <c r="F194" s="58">
        <f>(E194/$E$193)*100</f>
        <v>13.839921677972505</v>
      </c>
      <c r="G194" s="156"/>
      <c r="H194" s="156">
        <v>282.51843039118899</v>
      </c>
      <c r="I194" s="58">
        <f>(H194/$H$193)*100</f>
        <v>12.771331163300228</v>
      </c>
      <c r="J194" s="156"/>
      <c r="K194" s="58">
        <v>282.414133830298</v>
      </c>
      <c r="L194" s="58">
        <f>(K194/$K$193)*100</f>
        <v>12.161459376851266</v>
      </c>
      <c r="M194" s="156"/>
      <c r="N194" s="58">
        <v>278.2478815113937</v>
      </c>
      <c r="O194" s="58">
        <f>(N194/$N$193)*100</f>
        <v>11.530286757843708</v>
      </c>
      <c r="P194" s="58"/>
      <c r="Q194" s="25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</row>
    <row r="195" spans="1:122" ht="17.25" customHeight="1" x14ac:dyDescent="0.25">
      <c r="A195" s="20" t="s">
        <v>130</v>
      </c>
      <c r="B195" s="156">
        <f>1614017/1000</f>
        <v>1614.0170000000001</v>
      </c>
      <c r="C195" s="107">
        <f>(B195/$B$193)*100</f>
        <v>85.425657701830545</v>
      </c>
      <c r="D195" s="134"/>
      <c r="E195" s="156">
        <v>1736.125063256733</v>
      </c>
      <c r="F195" s="107">
        <f>(E195/$E$193)*100</f>
        <v>86.160078322027502</v>
      </c>
      <c r="G195" s="173"/>
      <c r="H195" s="156">
        <v>1929.6114312401155</v>
      </c>
      <c r="I195" s="107">
        <f>(H195/$H$193)*100</f>
        <v>87.228668836699782</v>
      </c>
      <c r="J195" s="173"/>
      <c r="K195" s="58">
        <v>2039.79182089138</v>
      </c>
      <c r="L195" s="58">
        <f>(K195/$K$193)*100</f>
        <v>87.838540623148731</v>
      </c>
      <c r="M195" s="106"/>
      <c r="N195" s="58">
        <v>2134.9434584360715</v>
      </c>
      <c r="O195" s="107">
        <f>(N195/$N$193)*100</f>
        <v>88.469713242156303</v>
      </c>
      <c r="P195" s="107"/>
      <c r="Q195" s="257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</row>
    <row r="196" spans="1:122" ht="5.25" customHeight="1" x14ac:dyDescent="0.25">
      <c r="A196" s="328"/>
      <c r="B196" s="328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276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</row>
    <row r="197" spans="1:122" ht="3.75" customHeight="1" x14ac:dyDescent="0.25">
      <c r="A197" s="277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276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</row>
    <row r="198" spans="1:122" s="291" customFormat="1" ht="11.25" customHeight="1" x14ac:dyDescent="0.25">
      <c r="A198" s="175" t="s">
        <v>88</v>
      </c>
      <c r="B198" s="312"/>
      <c r="C198" s="312"/>
      <c r="D198" s="312"/>
      <c r="E198" s="312"/>
      <c r="F198" s="312"/>
      <c r="G198" s="312"/>
      <c r="H198" s="302"/>
      <c r="I198" s="302"/>
      <c r="J198" s="302"/>
      <c r="K198" s="289"/>
      <c r="L198" s="294"/>
      <c r="M198" s="304"/>
      <c r="N198" s="294"/>
      <c r="O198" s="294"/>
      <c r="P198" s="294"/>
    </row>
    <row r="199" spans="1:122" s="291" customFormat="1" ht="9" customHeight="1" x14ac:dyDescent="0.25">
      <c r="A199" s="175" t="s">
        <v>128</v>
      </c>
      <c r="B199" s="294"/>
      <c r="C199" s="294"/>
      <c r="D199" s="294"/>
      <c r="E199" s="287"/>
      <c r="F199" s="295"/>
      <c r="G199" s="307"/>
      <c r="H199" s="308"/>
      <c r="K199" s="289"/>
      <c r="L199" s="294"/>
      <c r="M199" s="303"/>
      <c r="N199" s="294"/>
      <c r="O199" s="294"/>
      <c r="P199" s="294"/>
    </row>
    <row r="200" spans="1:122" s="4" customFormat="1" x14ac:dyDescent="0.25">
      <c r="A200" s="172"/>
      <c r="B200" s="286"/>
      <c r="C200" s="286"/>
      <c r="D200" s="286"/>
      <c r="E200" s="286"/>
      <c r="F200" s="286"/>
      <c r="G200" s="58"/>
      <c r="H200" s="63"/>
      <c r="I200" s="286"/>
      <c r="J200" s="58"/>
      <c r="K200" s="281"/>
      <c r="L200" s="173"/>
      <c r="M200" s="173"/>
      <c r="N200" s="173"/>
      <c r="O200" s="286"/>
      <c r="P200" s="286"/>
      <c r="R200" s="334"/>
      <c r="S200" s="334"/>
    </row>
    <row r="201" spans="1:122" s="4" customFormat="1" x14ac:dyDescent="0.25">
      <c r="A201" s="172"/>
      <c r="B201" s="286"/>
      <c r="C201" s="286"/>
      <c r="D201" s="286"/>
      <c r="E201" s="286"/>
      <c r="F201" s="286"/>
      <c r="G201" s="58"/>
      <c r="H201" s="63"/>
      <c r="I201" s="286"/>
      <c r="J201" s="58"/>
      <c r="K201" s="281"/>
      <c r="L201" s="173"/>
      <c r="M201" s="173"/>
      <c r="N201" s="173"/>
      <c r="O201" s="286"/>
      <c r="P201" s="286"/>
      <c r="R201" s="334"/>
      <c r="S201" s="334"/>
    </row>
    <row r="202" spans="1:122" s="4" customFormat="1" ht="15.75" x14ac:dyDescent="0.25">
      <c r="A202" s="395" t="s">
        <v>151</v>
      </c>
      <c r="B202" s="395"/>
      <c r="C202" s="395"/>
      <c r="D202" s="395"/>
      <c r="E202" s="395"/>
      <c r="F202" s="395"/>
      <c r="G202" s="395"/>
      <c r="H202" s="395"/>
      <c r="I202" s="395"/>
      <c r="J202" s="395"/>
      <c r="K202" s="395"/>
      <c r="L202" s="395"/>
      <c r="M202" s="395"/>
      <c r="N202" s="395"/>
      <c r="O202" s="395"/>
      <c r="P202" s="380"/>
      <c r="R202" s="334"/>
      <c r="S202" s="164"/>
    </row>
    <row r="203" spans="1:122" s="4" customFormat="1" ht="20.25" customHeight="1" x14ac:dyDescent="0.25">
      <c r="A203" s="395" t="s">
        <v>129</v>
      </c>
      <c r="B203" s="395"/>
      <c r="C203" s="395"/>
      <c r="D203" s="395"/>
      <c r="E203" s="395"/>
      <c r="F203" s="395"/>
      <c r="G203" s="395"/>
      <c r="H203" s="395"/>
      <c r="I203" s="395"/>
      <c r="J203" s="395"/>
      <c r="K203" s="395"/>
      <c r="L203" s="395"/>
      <c r="M203" s="395"/>
      <c r="N203" s="395"/>
      <c r="O203" s="395"/>
      <c r="P203" s="380"/>
      <c r="R203" s="335"/>
      <c r="S203" s="164"/>
      <c r="T203" s="334"/>
      <c r="AD203" s="334"/>
      <c r="AE203" s="164"/>
      <c r="AF203" s="334"/>
      <c r="AK203" s="334"/>
    </row>
    <row r="204" spans="1:122" s="4" customFormat="1" ht="14.25" customHeight="1" x14ac:dyDescent="0.25">
      <c r="A204" s="394"/>
      <c r="B204" s="394"/>
      <c r="C204" s="394"/>
      <c r="D204" s="394"/>
      <c r="E204" s="394"/>
      <c r="F204" s="394"/>
      <c r="G204" s="394"/>
      <c r="H204" s="394"/>
      <c r="I204" s="394"/>
      <c r="J204" s="394"/>
      <c r="K204" s="394"/>
      <c r="L204" s="394"/>
      <c r="M204" s="394"/>
      <c r="N204" s="394"/>
      <c r="O204" s="394"/>
      <c r="P204" s="379"/>
      <c r="S204" s="164"/>
      <c r="AD204" s="334"/>
      <c r="AE204" s="164"/>
      <c r="AF204" s="334"/>
      <c r="AK204" s="334"/>
    </row>
    <row r="205" spans="1:122" s="4" customFormat="1" ht="15.75" customHeight="1" thickBot="1" x14ac:dyDescent="0.3">
      <c r="A205" s="400" t="s">
        <v>3</v>
      </c>
      <c r="B205" s="399">
        <v>2017</v>
      </c>
      <c r="C205" s="399"/>
      <c r="D205" s="323"/>
      <c r="E205" s="399">
        <v>2018</v>
      </c>
      <c r="F205" s="399"/>
      <c r="G205" s="381"/>
      <c r="H205" s="399">
        <v>2019</v>
      </c>
      <c r="I205" s="399"/>
      <c r="J205" s="323"/>
      <c r="K205" s="399" t="s">
        <v>152</v>
      </c>
      <c r="L205" s="399"/>
      <c r="M205" s="323"/>
      <c r="N205" s="399" t="s">
        <v>153</v>
      </c>
      <c r="O205" s="399"/>
      <c r="P205" s="370"/>
      <c r="S205" s="164"/>
      <c r="T205" s="334"/>
      <c r="U205" s="336"/>
      <c r="V205" s="336"/>
      <c r="W205" s="337"/>
      <c r="X205" s="337"/>
      <c r="Y205" s="334"/>
      <c r="AD205" s="334"/>
      <c r="AE205" s="164"/>
      <c r="AF205" s="334"/>
      <c r="AI205" s="338"/>
      <c r="AJ205" s="338"/>
      <c r="AK205" s="334"/>
    </row>
    <row r="206" spans="1:122" s="4" customFormat="1" ht="24.75" customHeight="1" x14ac:dyDescent="0.25">
      <c r="A206" s="400"/>
      <c r="B206" s="324" t="s">
        <v>93</v>
      </c>
      <c r="C206" s="325" t="s">
        <v>94</v>
      </c>
      <c r="D206" s="325"/>
      <c r="E206" s="324" t="s">
        <v>93</v>
      </c>
      <c r="F206" s="325" t="s">
        <v>94</v>
      </c>
      <c r="G206" s="325"/>
      <c r="H206" s="324" t="s">
        <v>93</v>
      </c>
      <c r="I206" s="325" t="s">
        <v>94</v>
      </c>
      <c r="J206" s="323"/>
      <c r="K206" s="326" t="s">
        <v>93</v>
      </c>
      <c r="L206" s="325" t="s">
        <v>94</v>
      </c>
      <c r="M206" s="323"/>
      <c r="N206" s="324" t="s">
        <v>93</v>
      </c>
      <c r="O206" s="325" t="s">
        <v>94</v>
      </c>
      <c r="P206" s="325"/>
      <c r="S206" s="358"/>
      <c r="T206" s="358"/>
      <c r="V206" s="334"/>
      <c r="W206" s="334"/>
      <c r="X206" s="334"/>
      <c r="Y206" s="334"/>
      <c r="Z206" s="334"/>
      <c r="AA206" s="334"/>
      <c r="AB206" s="334"/>
      <c r="AC206" s="334"/>
      <c r="AD206" s="334"/>
      <c r="AE206" s="334"/>
      <c r="AF206" s="334"/>
      <c r="AG206" s="334"/>
      <c r="AH206" s="334"/>
      <c r="AI206" s="334"/>
      <c r="AJ206" s="334"/>
      <c r="AK206" s="334"/>
      <c r="AL206" s="334"/>
      <c r="AM206" s="334"/>
    </row>
    <row r="207" spans="1:122" s="4" customFormat="1" ht="25.5" customHeight="1" x14ac:dyDescent="0.25">
      <c r="A207" s="313" t="s">
        <v>6</v>
      </c>
      <c r="B207" s="320">
        <f>B208+B254+B260</f>
        <v>197783.06807525962</v>
      </c>
      <c r="C207" s="320"/>
      <c r="D207" s="314"/>
      <c r="E207" s="320">
        <f>E208+E254+E260</f>
        <v>211849.66036888974</v>
      </c>
      <c r="F207" s="314"/>
      <c r="G207" s="314"/>
      <c r="H207" s="320">
        <f>H208+H254+H260</f>
        <v>222490.33297990629</v>
      </c>
      <c r="I207" s="314"/>
      <c r="J207" s="314"/>
      <c r="K207" s="320">
        <f>K208+K254+K260</f>
        <v>237351.96698340279</v>
      </c>
      <c r="L207" s="320"/>
      <c r="M207" s="320"/>
      <c r="N207" s="320">
        <f>N208+N254+N260</f>
        <v>259092.512566088</v>
      </c>
      <c r="O207" s="314"/>
      <c r="P207" s="314"/>
      <c r="S207" s="359"/>
      <c r="T207" s="359"/>
      <c r="AD207" s="334"/>
      <c r="AE207" s="164"/>
      <c r="AF207" s="334"/>
      <c r="AK207" s="334"/>
    </row>
    <row r="208" spans="1:122" s="4" customFormat="1" ht="19.5" customHeight="1" x14ac:dyDescent="0.25">
      <c r="A208" s="18" t="s">
        <v>7</v>
      </c>
      <c r="B208" s="366">
        <f>B210+B214+B220+B223+B227+B236+B245+B250</f>
        <v>117802.18985778795</v>
      </c>
      <c r="C208" s="366">
        <f>C210+C214+C220+C223+C227+C236+C245+C250</f>
        <v>100</v>
      </c>
      <c r="D208" s="173"/>
      <c r="E208" s="366">
        <f>E210+E214+E220+E223+E227+E236+E245+E250</f>
        <v>126090.9786042232</v>
      </c>
      <c r="F208" s="366">
        <f>F210+F214+F220+F223+F227+F236+F245+F250</f>
        <v>99.999999999999986</v>
      </c>
      <c r="G208" s="349"/>
      <c r="H208" s="366">
        <f>H210+H214+H220+H223+H227+H236+H245+H250</f>
        <v>133126.88815691706</v>
      </c>
      <c r="I208" s="366">
        <f>I210+I214+I220+I223+I227+I236+I245+I250</f>
        <v>99.999999999999986</v>
      </c>
      <c r="J208" s="348"/>
      <c r="K208" s="366">
        <f>K210+K214+K220+K223+K227+K236+K245+K250</f>
        <v>143818.35066622603</v>
      </c>
      <c r="L208" s="366">
        <f>L210+L214+L220+L223+L227+L236+L245+L250</f>
        <v>99.999999999999986</v>
      </c>
      <c r="M208" s="347"/>
      <c r="N208" s="366">
        <f>N210+N214+N220+N223+N227+N236+N245+N250</f>
        <v>151412.68954094843</v>
      </c>
      <c r="O208" s="366">
        <f>O210+O214+O220+O223+O227+O236+O245+O250</f>
        <v>100</v>
      </c>
      <c r="P208" s="366"/>
      <c r="S208" s="334"/>
      <c r="T208" s="335"/>
      <c r="AD208" s="334"/>
      <c r="AE208" s="164"/>
      <c r="AF208" s="334"/>
      <c r="AK208" s="334"/>
    </row>
    <row r="209" spans="1:32" s="4" customFormat="1" ht="8.25" customHeight="1" x14ac:dyDescent="0.25">
      <c r="A209" s="18"/>
      <c r="B209" s="363"/>
      <c r="C209" s="364"/>
      <c r="D209" s="173"/>
      <c r="E209" s="348"/>
      <c r="F209" s="348"/>
      <c r="G209" s="350"/>
      <c r="H209" s="348"/>
      <c r="I209" s="348"/>
      <c r="J209" s="348"/>
      <c r="K209" s="342"/>
      <c r="L209" s="342"/>
      <c r="M209" s="348"/>
      <c r="S209" s="164"/>
      <c r="AD209" s="334"/>
      <c r="AE209" s="164"/>
      <c r="AF209" s="334"/>
    </row>
    <row r="210" spans="1:32" s="4" customFormat="1" ht="15.75" customHeight="1" x14ac:dyDescent="0.25">
      <c r="A210" s="178" t="s">
        <v>8</v>
      </c>
      <c r="B210" s="366">
        <f>SUM(B211:B213)</f>
        <v>16665.060762498411</v>
      </c>
      <c r="C210" s="368">
        <f>B210/$B$208*100</f>
        <v>14.146647683389119</v>
      </c>
      <c r="D210" s="173"/>
      <c r="E210" s="366">
        <f>SUM(E211:E213)</f>
        <v>18604.228202489838</v>
      </c>
      <c r="F210" s="347">
        <f>(E210/$E$208)*100</f>
        <v>14.75460687864526</v>
      </c>
      <c r="G210" s="349"/>
      <c r="H210" s="366">
        <f>SUM(H211:H213)</f>
        <v>18772.615604717597</v>
      </c>
      <c r="I210" s="347">
        <f>H210/$H$208*100</f>
        <v>14.101295286486573</v>
      </c>
      <c r="J210" s="349"/>
      <c r="K210" s="366">
        <f>SUM(K211:K213)</f>
        <v>19891.698559081582</v>
      </c>
      <c r="L210" s="343">
        <f>K210/$K$208*100</f>
        <v>13.831126881190761</v>
      </c>
      <c r="M210" s="347"/>
      <c r="N210" s="366">
        <f>SUM(N211:N213)</f>
        <v>23268.987990046076</v>
      </c>
      <c r="O210" s="343">
        <f>N210/$N$208*100</f>
        <v>15.367924617542148</v>
      </c>
      <c r="P210" s="343"/>
      <c r="S210" s="164"/>
      <c r="U210" s="334"/>
      <c r="V210" s="334"/>
      <c r="W210" s="334"/>
      <c r="X210" s="334"/>
    </row>
    <row r="211" spans="1:32" s="4" customFormat="1" ht="15.75" customHeight="1" x14ac:dyDescent="0.25">
      <c r="A211" s="20" t="s">
        <v>9</v>
      </c>
      <c r="B211" s="363">
        <v>15842.907746315552</v>
      </c>
      <c r="C211" s="364">
        <f>B211/$B$208*100</f>
        <v>13.448737893108165</v>
      </c>
      <c r="D211" s="173"/>
      <c r="E211" s="351">
        <v>17710.285384615541</v>
      </c>
      <c r="F211" s="351">
        <f>(E211/$E$208)*100</f>
        <v>14.045640362745479</v>
      </c>
      <c r="G211" s="349"/>
      <c r="H211" s="351">
        <v>17654.456112621338</v>
      </c>
      <c r="I211" s="351">
        <f>H211/$H$208*100</f>
        <v>13.261375186515274</v>
      </c>
      <c r="J211" s="349"/>
      <c r="K211" s="345">
        <v>18837.848941907578</v>
      </c>
      <c r="L211" s="344">
        <f>K211/$K$208*100</f>
        <v>13.098362520945955</v>
      </c>
      <c r="M211" s="351"/>
      <c r="N211" s="345">
        <v>22004.000927506415</v>
      </c>
      <c r="O211" s="344">
        <f>N211/$N$208*100</f>
        <v>14.532468179660462</v>
      </c>
      <c r="P211" s="344"/>
      <c r="S211" s="164"/>
    </row>
    <row r="212" spans="1:32" s="4" customFormat="1" ht="15.75" customHeight="1" x14ac:dyDescent="0.25">
      <c r="A212" s="20" t="s">
        <v>10</v>
      </c>
      <c r="B212" s="363">
        <v>822.15301618286014</v>
      </c>
      <c r="C212" s="364">
        <f>B212/$B$208*100</f>
        <v>0.6979097902809549</v>
      </c>
      <c r="D212" s="173"/>
      <c r="E212" s="351">
        <v>893.94281787429577</v>
      </c>
      <c r="F212" s="351">
        <f>(E212/$E$208)*100</f>
        <v>0.70896651589977799</v>
      </c>
      <c r="G212" s="349"/>
      <c r="H212" s="351">
        <v>1118.1594920962611</v>
      </c>
      <c r="I212" s="351">
        <f>H212/$H$208*100</f>
        <v>0.83992009997130201</v>
      </c>
      <c r="J212" s="349"/>
      <c r="K212" s="345">
        <v>1053.8496171740028</v>
      </c>
      <c r="L212" s="344">
        <f>K212/$K$208*100</f>
        <v>0.73276436024480596</v>
      </c>
      <c r="M212" s="351"/>
      <c r="N212" s="345">
        <v>1264.9870625396607</v>
      </c>
      <c r="O212" s="344">
        <f>N212/$N$208*100</f>
        <v>0.83545643788168389</v>
      </c>
      <c r="P212" s="344"/>
      <c r="S212" s="164"/>
    </row>
    <row r="213" spans="1:32" s="4" customFormat="1" ht="23.25" customHeight="1" x14ac:dyDescent="0.25">
      <c r="A213" s="20" t="s">
        <v>65</v>
      </c>
      <c r="B213" s="363" t="s">
        <v>72</v>
      </c>
      <c r="C213" s="364">
        <v>0</v>
      </c>
      <c r="D213" s="173"/>
      <c r="E213" s="50" t="s">
        <v>72</v>
      </c>
      <c r="F213" s="351">
        <v>0</v>
      </c>
      <c r="G213" s="349"/>
      <c r="H213" s="50" t="s">
        <v>72</v>
      </c>
      <c r="I213" s="351">
        <v>0</v>
      </c>
      <c r="J213" s="349"/>
      <c r="K213" s="355" t="s">
        <v>72</v>
      </c>
      <c r="L213" s="346">
        <v>0</v>
      </c>
      <c r="M213" s="351"/>
      <c r="N213" s="355" t="s">
        <v>72</v>
      </c>
      <c r="O213" s="346">
        <v>0</v>
      </c>
      <c r="P213" s="346"/>
      <c r="S213" s="164"/>
      <c r="T213" s="164"/>
    </row>
    <row r="214" spans="1:32" s="4" customFormat="1" ht="24" customHeight="1" x14ac:dyDescent="0.25">
      <c r="A214" s="261" t="s">
        <v>11</v>
      </c>
      <c r="B214" s="366">
        <f>SUM(B215:B218)</f>
        <v>21175.92191026721</v>
      </c>
      <c r="C214" s="368">
        <f>B214/$B$208*100</f>
        <v>17.975830445793079</v>
      </c>
      <c r="D214" s="173"/>
      <c r="E214" s="366">
        <f>SUM(E215:E218)</f>
        <v>22649.479572438751</v>
      </c>
      <c r="F214" s="347">
        <f>(E214/$E$208)*100</f>
        <v>17.962807350025713</v>
      </c>
      <c r="G214" s="349"/>
      <c r="H214" s="366">
        <f>SUM(H215:H218)</f>
        <v>19118.06358439161</v>
      </c>
      <c r="I214" s="347">
        <f>H214/$H$208*100</f>
        <v>14.360783046214594</v>
      </c>
      <c r="J214" s="349"/>
      <c r="K214" s="366">
        <f>SUM(K215:K218)</f>
        <v>22265.551694908099</v>
      </c>
      <c r="L214" s="340">
        <f>K214/$K$208*100</f>
        <v>15.481718147764081</v>
      </c>
      <c r="M214" s="347"/>
      <c r="N214" s="366">
        <f>SUM(N215:N218)</f>
        <v>22893.68763046126</v>
      </c>
      <c r="O214" s="340">
        <f>N214/$N$208*100</f>
        <v>15.12005876117129</v>
      </c>
      <c r="P214" s="340"/>
      <c r="T214" s="164"/>
    </row>
    <row r="215" spans="1:32" s="4" customFormat="1" ht="15.75" customHeight="1" x14ac:dyDescent="0.25">
      <c r="A215" s="20" t="s">
        <v>12</v>
      </c>
      <c r="B215" s="363">
        <v>10681.40271014648</v>
      </c>
      <c r="C215" s="364">
        <f t="shared" ref="C215:C218" si="64">B215/$B$208*100</f>
        <v>9.0672361210272765</v>
      </c>
      <c r="D215" s="173"/>
      <c r="E215" s="351">
        <v>10783.742058561324</v>
      </c>
      <c r="F215" s="351">
        <f>(E215/$E$208)*100</f>
        <v>8.5523501981926415</v>
      </c>
      <c r="G215" s="131"/>
      <c r="H215" s="351">
        <v>8303.3002765233214</v>
      </c>
      <c r="I215" s="351">
        <f>H215/$H$208*100</f>
        <v>6.237132401634895</v>
      </c>
      <c r="J215" s="349"/>
      <c r="K215" s="345">
        <v>9739.2809177032395</v>
      </c>
      <c r="L215" s="355">
        <f>K215/$K$208*100</f>
        <v>6.7719320049123537</v>
      </c>
      <c r="M215" s="351"/>
      <c r="N215" s="345">
        <v>10132.291641726084</v>
      </c>
      <c r="O215" s="355">
        <f>N215/$N$208*100</f>
        <v>6.6918378323805427</v>
      </c>
      <c r="P215" s="355"/>
      <c r="S215" s="334"/>
      <c r="T215" s="164"/>
    </row>
    <row r="216" spans="1:32" s="4" customFormat="1" ht="15.75" customHeight="1" x14ac:dyDescent="0.25">
      <c r="A216" s="20" t="s">
        <v>13</v>
      </c>
      <c r="B216" s="363">
        <v>209.05925541666662</v>
      </c>
      <c r="C216" s="364">
        <f t="shared" si="64"/>
        <v>0.17746635751767023</v>
      </c>
      <c r="D216" s="173"/>
      <c r="E216" s="351">
        <v>213.45005470452287</v>
      </c>
      <c r="F216" s="351">
        <f t="shared" ref="F216:F218" si="65">(E216/$E$208)*100</f>
        <v>0.16928257442945543</v>
      </c>
      <c r="G216" s="131"/>
      <c r="H216" s="351">
        <v>259.49218862545899</v>
      </c>
      <c r="I216" s="351">
        <f t="shared" ref="I216:I218" si="66">H216/$H$208*100</f>
        <v>0.19492094513588776</v>
      </c>
      <c r="J216" s="349"/>
      <c r="K216" s="345">
        <v>340.03850989363264</v>
      </c>
      <c r="L216" s="355">
        <f>K216/$K$208*100</f>
        <v>0.23643610729676273</v>
      </c>
      <c r="M216" s="351"/>
      <c r="N216" s="345">
        <v>305.6892692650751</v>
      </c>
      <c r="O216" s="355">
        <f>N216/$N$208*100</f>
        <v>0.20189144660983233</v>
      </c>
      <c r="P216" s="355"/>
    </row>
    <row r="217" spans="1:32" s="4" customFormat="1" ht="15.75" customHeight="1" x14ac:dyDescent="0.25">
      <c r="A217" s="20" t="s">
        <v>14</v>
      </c>
      <c r="B217" s="363">
        <v>2086.1286277669574</v>
      </c>
      <c r="C217" s="364">
        <f t="shared" si="64"/>
        <v>1.770874234413939</v>
      </c>
      <c r="D217" s="173"/>
      <c r="E217" s="351">
        <v>2185.5194339718441</v>
      </c>
      <c r="F217" s="351">
        <f t="shared" si="65"/>
        <v>1.7332877087359237</v>
      </c>
      <c r="G217" s="349"/>
      <c r="H217" s="351">
        <v>1935.7283649020369</v>
      </c>
      <c r="I217" s="351">
        <f t="shared" si="66"/>
        <v>1.4540476320759395</v>
      </c>
      <c r="J217" s="349"/>
      <c r="K217" s="345">
        <v>2336.977361043399</v>
      </c>
      <c r="L217" s="355">
        <f>K217/$K$208*100</f>
        <v>1.6249507453100067</v>
      </c>
      <c r="M217" s="351"/>
      <c r="N217" s="345">
        <v>2810.6618152927349</v>
      </c>
      <c r="O217" s="355">
        <f>N217/$N$208*100</f>
        <v>1.8562921138341002</v>
      </c>
      <c r="P217" s="355"/>
    </row>
    <row r="218" spans="1:32" s="4" customFormat="1" ht="15.75" customHeight="1" x14ac:dyDescent="0.25">
      <c r="A218" s="20" t="s">
        <v>15</v>
      </c>
      <c r="B218" s="363">
        <v>8199.3313169371067</v>
      </c>
      <c r="C218" s="364">
        <f t="shared" si="64"/>
        <v>6.9602537328341914</v>
      </c>
      <c r="D218" s="173"/>
      <c r="E218" s="351">
        <v>9466.7680252010596</v>
      </c>
      <c r="F218" s="351">
        <f t="shared" si="65"/>
        <v>7.507886868667689</v>
      </c>
      <c r="G218" s="349"/>
      <c r="H218" s="351">
        <v>8619.5427543407914</v>
      </c>
      <c r="I218" s="351">
        <f t="shared" si="66"/>
        <v>6.4746820673678709</v>
      </c>
      <c r="J218" s="349"/>
      <c r="K218" s="345">
        <v>9849.2549062678281</v>
      </c>
      <c r="L218" s="355">
        <f>K218/$K$208*100</f>
        <v>6.8483992902449584</v>
      </c>
      <c r="M218" s="351"/>
      <c r="N218" s="345">
        <v>9645.0449041773682</v>
      </c>
      <c r="O218" s="355">
        <f>N218/$N$208*100</f>
        <v>6.3700373683468179</v>
      </c>
      <c r="P218" s="355"/>
    </row>
    <row r="219" spans="1:32" s="4" customFormat="1" ht="15.75" customHeight="1" x14ac:dyDescent="0.25">
      <c r="A219" s="20"/>
      <c r="B219" s="363"/>
      <c r="C219" s="364"/>
      <c r="D219" s="173"/>
      <c r="E219" s="351"/>
      <c r="F219" s="351"/>
      <c r="G219" s="349"/>
      <c r="H219" s="351"/>
      <c r="I219" s="351"/>
      <c r="J219" s="349"/>
      <c r="K219" s="342"/>
      <c r="L219" s="342"/>
      <c r="M219" s="351"/>
      <c r="N219" s="342"/>
      <c r="O219" s="342"/>
      <c r="P219" s="342"/>
    </row>
    <row r="220" spans="1:32" s="4" customFormat="1" ht="15.75" customHeight="1" x14ac:dyDescent="0.25">
      <c r="A220" s="178" t="s">
        <v>16</v>
      </c>
      <c r="B220" s="366">
        <f>SUM(B221:B222)</f>
        <v>266.55851756365735</v>
      </c>
      <c r="C220" s="368">
        <f>B220/$B$208*100</f>
        <v>0.22627636878860199</v>
      </c>
      <c r="D220" s="369"/>
      <c r="E220" s="366">
        <f>SUM(E221:E222)</f>
        <v>344.84217051948303</v>
      </c>
      <c r="F220" s="347">
        <f>(E220/$E$208)*100</f>
        <v>0.27348679051962971</v>
      </c>
      <c r="G220" s="3"/>
      <c r="H220" s="366">
        <f>SUM(H221:H222)</f>
        <v>467.78032359548598</v>
      </c>
      <c r="I220" s="347">
        <f>H220/$H$208*100</f>
        <v>0.35137929690365172</v>
      </c>
      <c r="J220" s="3"/>
      <c r="K220" s="366">
        <f>SUM(K221:K222)</f>
        <v>364.75303542690978</v>
      </c>
      <c r="L220" s="340">
        <f>K220/$K$208*100</f>
        <v>0.25362064975521065</v>
      </c>
      <c r="M220" s="347"/>
      <c r="N220" s="366">
        <f>SUM(N221:N222)</f>
        <v>355.61491274375004</v>
      </c>
      <c r="O220" s="343">
        <f>N220/$N$208*100</f>
        <v>0.23486466941568768</v>
      </c>
      <c r="P220" s="343"/>
    </row>
    <row r="221" spans="1:32" s="4" customFormat="1" ht="15.75" customHeight="1" x14ac:dyDescent="0.25">
      <c r="A221" s="20" t="s">
        <v>154</v>
      </c>
      <c r="B221" s="363">
        <v>266.55851756365735</v>
      </c>
      <c r="C221" s="364">
        <f t="shared" ref="C221:C225" si="67">B221/$B$208*100</f>
        <v>0.22627636878860199</v>
      </c>
      <c r="D221" s="173"/>
      <c r="E221" s="351">
        <v>344.84217051948303</v>
      </c>
      <c r="F221" s="351">
        <f>(E221/$E$208)*100</f>
        <v>0.27348679051962971</v>
      </c>
      <c r="G221" s="349"/>
      <c r="H221" s="351">
        <v>467.78032359548598</v>
      </c>
      <c r="I221" s="351">
        <f>H221/$H$208*100</f>
        <v>0.35137929690365172</v>
      </c>
      <c r="J221" s="349"/>
      <c r="K221" s="351">
        <v>364.75303542690978</v>
      </c>
      <c r="L221" s="340">
        <f>K221/$K$208*100</f>
        <v>0.25362064975521065</v>
      </c>
      <c r="M221" s="351"/>
      <c r="N221" s="351">
        <v>355.61491274375004</v>
      </c>
      <c r="O221" s="344">
        <f>N221/$N$208*100</f>
        <v>0.23486466941568768</v>
      </c>
      <c r="P221" s="344"/>
    </row>
    <row r="222" spans="1:32" s="4" customFormat="1" ht="15.75" customHeight="1" x14ac:dyDescent="0.25">
      <c r="A222" s="20" t="s">
        <v>18</v>
      </c>
      <c r="B222" s="367" t="s">
        <v>72</v>
      </c>
      <c r="C222" s="364"/>
      <c r="D222" s="173"/>
      <c r="E222" s="50" t="s">
        <v>72</v>
      </c>
      <c r="F222" s="351"/>
      <c r="G222" s="349"/>
      <c r="H222" s="50" t="s">
        <v>72</v>
      </c>
      <c r="I222" s="351">
        <v>0</v>
      </c>
      <c r="J222" s="349"/>
      <c r="K222" s="50" t="s">
        <v>72</v>
      </c>
      <c r="L222" s="346">
        <v>0</v>
      </c>
      <c r="M222" s="351"/>
      <c r="N222" s="50" t="s">
        <v>72</v>
      </c>
      <c r="O222" s="344">
        <v>0</v>
      </c>
      <c r="P222" s="344"/>
    </row>
    <row r="223" spans="1:32" s="4" customFormat="1" ht="15.75" customHeight="1" x14ac:dyDescent="0.25">
      <c r="A223" s="178" t="s">
        <v>21</v>
      </c>
      <c r="B223" s="366">
        <f>SUM(B224:B226)</f>
        <v>3050.9064123720223</v>
      </c>
      <c r="C223" s="368">
        <f>B223/$B$208*100</f>
        <v>2.5898554314271309</v>
      </c>
      <c r="D223" s="369"/>
      <c r="E223" s="366">
        <f>SUM(E224:E226)</f>
        <v>3164.7590986563123</v>
      </c>
      <c r="F223" s="347">
        <f>(E223/$E$208)*100</f>
        <v>2.5099012900755726</v>
      </c>
      <c r="G223" s="3"/>
      <c r="H223" s="366">
        <f>SUM(H224:H226)</f>
        <v>3617.4627611431488</v>
      </c>
      <c r="I223" s="347">
        <f>H223/$H$208*100</f>
        <v>2.7173043787211753</v>
      </c>
      <c r="J223" s="3"/>
      <c r="K223" s="366">
        <f>SUM(K224:K226)</f>
        <v>3610.2040190499233</v>
      </c>
      <c r="L223" s="340">
        <f>K223/$K$208*100</f>
        <v>2.5102526919033394</v>
      </c>
      <c r="M223" s="347"/>
      <c r="N223" s="366">
        <f>SUM(N224:N226)</f>
        <v>3778.5394672001212</v>
      </c>
      <c r="O223" s="341">
        <f t="shared" ref="O223:O230" si="68">N223/$N$208*100</f>
        <v>2.4955236437948907</v>
      </c>
      <c r="P223" s="341"/>
    </row>
    <row r="224" spans="1:32" s="4" customFormat="1" ht="15.75" customHeight="1" x14ac:dyDescent="0.25">
      <c r="A224" s="20" t="s">
        <v>22</v>
      </c>
      <c r="B224" s="363">
        <v>2361.2234744376165</v>
      </c>
      <c r="C224" s="364">
        <f t="shared" si="67"/>
        <v>2.0043969278398901</v>
      </c>
      <c r="D224" s="173"/>
      <c r="E224" s="351">
        <v>2413.2020657493658</v>
      </c>
      <c r="F224" s="351">
        <f>(E224/$E$208)*100</f>
        <v>1.9138578290552974</v>
      </c>
      <c r="G224" s="349"/>
      <c r="H224" s="351">
        <v>2778.1410660215556</v>
      </c>
      <c r="I224" s="351">
        <f>H224/$H$208*100</f>
        <v>2.0868369301526468</v>
      </c>
      <c r="J224" s="349"/>
      <c r="K224" s="351">
        <v>2801.8687355128482</v>
      </c>
      <c r="L224" s="355">
        <f>K224/$K$208*100</f>
        <v>1.9481997412245617</v>
      </c>
      <c r="M224" s="351"/>
      <c r="N224" s="351">
        <v>2966.0779974475377</v>
      </c>
      <c r="O224" s="355">
        <f t="shared" si="68"/>
        <v>1.9589362070246985</v>
      </c>
      <c r="P224" s="355"/>
    </row>
    <row r="225" spans="1:16" s="4" customFormat="1" ht="15.75" customHeight="1" x14ac:dyDescent="0.25">
      <c r="A225" s="20" t="s">
        <v>23</v>
      </c>
      <c r="B225" s="363">
        <v>689.68293793440591</v>
      </c>
      <c r="C225" s="364">
        <f t="shared" si="67"/>
        <v>0.58545850358724094</v>
      </c>
      <c r="D225" s="173"/>
      <c r="E225" s="351">
        <v>751.55703290694635</v>
      </c>
      <c r="F225" s="351">
        <f t="shared" ref="F225" si="69">(E225/$E$208)*100</f>
        <v>0.59604346102027495</v>
      </c>
      <c r="G225" s="111"/>
      <c r="H225" s="351">
        <v>839.32169512159294</v>
      </c>
      <c r="I225" s="351">
        <f>H225/$H$208*100</f>
        <v>0.6304674485685281</v>
      </c>
      <c r="J225" s="349"/>
      <c r="K225" s="351">
        <v>808.33528353707504</v>
      </c>
      <c r="L225" s="355">
        <f>K225/$K$208*100</f>
        <v>0.5620529506787777</v>
      </c>
      <c r="M225" s="351"/>
      <c r="N225" s="351">
        <v>812.46146975258375</v>
      </c>
      <c r="O225" s="355">
        <f t="shared" si="68"/>
        <v>0.53658743677019194</v>
      </c>
      <c r="P225" s="355"/>
    </row>
    <row r="226" spans="1:16" s="4" customFormat="1" ht="15.75" customHeight="1" x14ac:dyDescent="0.25">
      <c r="A226" s="20" t="s">
        <v>24</v>
      </c>
      <c r="B226" s="363" t="s">
        <v>72</v>
      </c>
      <c r="C226" s="364" t="s">
        <v>155</v>
      </c>
      <c r="D226" s="173"/>
      <c r="E226" s="50" t="s">
        <v>72</v>
      </c>
      <c r="F226" s="351"/>
      <c r="G226" s="349"/>
      <c r="H226" s="50" t="s">
        <v>72</v>
      </c>
      <c r="I226" s="351">
        <v>0</v>
      </c>
      <c r="J226" s="349"/>
      <c r="K226" s="50" t="s">
        <v>72</v>
      </c>
      <c r="L226" s="346">
        <v>0</v>
      </c>
      <c r="M226" s="346"/>
      <c r="N226" s="346">
        <v>0</v>
      </c>
      <c r="O226" s="355">
        <f t="shared" si="68"/>
        <v>0</v>
      </c>
      <c r="P226" s="355"/>
    </row>
    <row r="227" spans="1:16" s="4" customFormat="1" ht="33.75" customHeight="1" x14ac:dyDescent="0.25">
      <c r="A227" s="261" t="s">
        <v>25</v>
      </c>
      <c r="B227" s="366">
        <f>SUM(B228:B235)</f>
        <v>10776.980547925756</v>
      </c>
      <c r="C227" s="368">
        <f>B227/$B$208*100</f>
        <v>9.1483702984943154</v>
      </c>
      <c r="D227" s="173"/>
      <c r="E227" s="366">
        <f>SUM(E228:E235)</f>
        <v>11927.832723512807</v>
      </c>
      <c r="F227" s="347">
        <f>(E227/$E$208)*100</f>
        <v>9.4597035057933194</v>
      </c>
      <c r="G227" s="349"/>
      <c r="H227" s="366">
        <f>SUM(H228:H235)</f>
        <v>12898.858235916392</v>
      </c>
      <c r="I227" s="347">
        <f>H227/$H$208*100</f>
        <v>9.6891457574764832</v>
      </c>
      <c r="J227" s="349"/>
      <c r="K227" s="366">
        <f>SUM(K228:K235)</f>
        <v>13598.653985205739</v>
      </c>
      <c r="L227" s="340">
        <f t="shared" ref="L227:L234" si="70">K227/$K$208*100</f>
        <v>9.4554373083901702</v>
      </c>
      <c r="M227" s="347"/>
      <c r="N227" s="366">
        <f>SUM(N228:N235)</f>
        <v>11864.753104735481</v>
      </c>
      <c r="O227" s="340">
        <f t="shared" si="68"/>
        <v>7.8360361609762883</v>
      </c>
      <c r="P227" s="340"/>
    </row>
    <row r="228" spans="1:16" s="4" customFormat="1" ht="15.75" customHeight="1" x14ac:dyDescent="0.25">
      <c r="A228" s="105" t="s">
        <v>26</v>
      </c>
      <c r="B228" s="363">
        <v>1899.8130431250001</v>
      </c>
      <c r="C228" s="364">
        <f t="shared" ref="C228:C234" si="71">B228/$B$208*100</f>
        <v>1.6127145390238284</v>
      </c>
      <c r="D228" s="173"/>
      <c r="E228" s="351">
        <v>1960.3514336805556</v>
      </c>
      <c r="F228" s="351">
        <f>(E228/$E$208)*100</f>
        <v>1.5547118877027235</v>
      </c>
      <c r="G228" s="349"/>
      <c r="H228" s="351">
        <v>2172.761054861111</v>
      </c>
      <c r="I228" s="351">
        <f>H228/$H$208*100</f>
        <v>1.6320978315816044</v>
      </c>
      <c r="J228" s="349"/>
      <c r="K228" s="345">
        <v>2279.6871440555556</v>
      </c>
      <c r="L228" s="355">
        <f t="shared" si="70"/>
        <v>1.5851156222381237</v>
      </c>
      <c r="M228" s="351"/>
      <c r="N228" s="345">
        <v>2093.8377806548733</v>
      </c>
      <c r="O228" s="355">
        <f t="shared" si="68"/>
        <v>1.3828680984420467</v>
      </c>
      <c r="P228" s="355"/>
    </row>
    <row r="229" spans="1:16" s="4" customFormat="1" ht="15.75" customHeight="1" x14ac:dyDescent="0.25">
      <c r="A229" s="105" t="s">
        <v>27</v>
      </c>
      <c r="B229" s="363">
        <v>762.16679362577872</v>
      </c>
      <c r="C229" s="364">
        <f t="shared" si="71"/>
        <v>0.64698864642998111</v>
      </c>
      <c r="D229" s="173"/>
      <c r="E229" s="351">
        <v>774.79619832453511</v>
      </c>
      <c r="F229" s="351">
        <f t="shared" ref="F229:F233" si="72">(E229/$E$208)*100</f>
        <v>0.61447393532925176</v>
      </c>
      <c r="G229" s="349"/>
      <c r="H229" s="351">
        <v>944.53317933008441</v>
      </c>
      <c r="I229" s="351">
        <f t="shared" ref="I229:I234" si="73">H229/$H$208*100</f>
        <v>0.7094984284592909</v>
      </c>
      <c r="J229" s="349"/>
      <c r="K229" s="345">
        <v>922.42008301526994</v>
      </c>
      <c r="L229" s="355">
        <f t="shared" si="70"/>
        <v>0.64137857147035748</v>
      </c>
      <c r="M229" s="351"/>
      <c r="N229" s="345">
        <v>994.64382799353518</v>
      </c>
      <c r="O229" s="355">
        <f t="shared" si="68"/>
        <v>0.65690916065825589</v>
      </c>
      <c r="P229" s="355"/>
    </row>
    <row r="230" spans="1:16" s="4" customFormat="1" ht="15.75" customHeight="1" x14ac:dyDescent="0.25">
      <c r="A230" s="105" t="s">
        <v>28</v>
      </c>
      <c r="B230" s="363">
        <v>2619.7366681372232</v>
      </c>
      <c r="C230" s="364">
        <f t="shared" si="71"/>
        <v>2.2238437768430255</v>
      </c>
      <c r="D230" s="173"/>
      <c r="E230" s="351">
        <v>3679.2984621716573</v>
      </c>
      <c r="F230" s="351">
        <f t="shared" si="72"/>
        <v>2.9179712164185121</v>
      </c>
      <c r="G230" s="349"/>
      <c r="H230" s="351">
        <v>3449.0427719140484</v>
      </c>
      <c r="I230" s="351">
        <f t="shared" si="73"/>
        <v>2.5907935051021784</v>
      </c>
      <c r="J230" s="349"/>
      <c r="K230" s="345">
        <v>2390.0453816206609</v>
      </c>
      <c r="L230" s="355">
        <f t="shared" si="70"/>
        <v>1.6618500841853512</v>
      </c>
      <c r="M230" s="351"/>
      <c r="N230" s="345">
        <v>2720.686376516338</v>
      </c>
      <c r="O230" s="355">
        <f t="shared" si="68"/>
        <v>1.7968681388362426</v>
      </c>
      <c r="P230" s="355"/>
    </row>
    <row r="231" spans="1:16" s="4" customFormat="1" ht="15.75" customHeight="1" x14ac:dyDescent="0.25">
      <c r="A231" s="105" t="s">
        <v>134</v>
      </c>
      <c r="B231" s="363">
        <v>1490.7903968223188</v>
      </c>
      <c r="C231" s="364">
        <f t="shared" si="71"/>
        <v>1.2655031274223483</v>
      </c>
      <c r="D231" s="173"/>
      <c r="E231" s="351">
        <v>1683.6886308771018</v>
      </c>
      <c r="F231" s="351">
        <f t="shared" si="72"/>
        <v>1.3352966639761725</v>
      </c>
      <c r="G231" s="349"/>
      <c r="H231" s="351">
        <v>2044.1431334144256</v>
      </c>
      <c r="I231" s="351">
        <f t="shared" si="73"/>
        <v>1.5354848007901964</v>
      </c>
      <c r="J231" s="349"/>
      <c r="K231" s="345">
        <v>2321.42721022962</v>
      </c>
      <c r="L231" s="355">
        <f t="shared" si="70"/>
        <v>1.6141383901816493</v>
      </c>
      <c r="M231" s="351"/>
      <c r="N231" s="345">
        <v>1937.1185627220616</v>
      </c>
      <c r="O231" s="355">
        <f t="shared" ref="O231:O235" si="74">N231/$N$208*100</f>
        <v>1.2793634196677963</v>
      </c>
      <c r="P231" s="355"/>
    </row>
    <row r="232" spans="1:16" s="4" customFormat="1" ht="15.75" customHeight="1" x14ac:dyDescent="0.25">
      <c r="A232" s="105" t="s">
        <v>30</v>
      </c>
      <c r="B232" s="363">
        <v>977.83341948452755</v>
      </c>
      <c r="C232" s="364">
        <f t="shared" si="71"/>
        <v>0.83006387289147887</v>
      </c>
      <c r="D232" s="173"/>
      <c r="E232" s="351">
        <v>942.11702939618056</v>
      </c>
      <c r="F232" s="351">
        <f t="shared" si="72"/>
        <v>0.74717243043478598</v>
      </c>
      <c r="G232" s="349"/>
      <c r="H232" s="351">
        <v>1091.5712381745</v>
      </c>
      <c r="I232" s="351">
        <f t="shared" si="73"/>
        <v>0.81994798593043172</v>
      </c>
      <c r="J232" s="349"/>
      <c r="K232" s="345">
        <v>1186.573346490188</v>
      </c>
      <c r="L232" s="355">
        <f t="shared" si="70"/>
        <v>0.82505003081560169</v>
      </c>
      <c r="M232" s="351"/>
      <c r="N232" s="345">
        <v>1306.8958621879801</v>
      </c>
      <c r="O232" s="355">
        <f t="shared" si="74"/>
        <v>0.86313496322548322</v>
      </c>
      <c r="P232" s="355"/>
    </row>
    <row r="233" spans="1:16" s="4" customFormat="1" ht="15.75" customHeight="1" x14ac:dyDescent="0.25">
      <c r="A233" s="105" t="s">
        <v>31</v>
      </c>
      <c r="B233" s="363">
        <v>2757.8962267309071</v>
      </c>
      <c r="C233" s="364">
        <f t="shared" si="71"/>
        <v>2.34112475333461</v>
      </c>
      <c r="D233" s="173"/>
      <c r="E233" s="351">
        <v>2609.4319690627772</v>
      </c>
      <c r="F233" s="351">
        <f t="shared" si="72"/>
        <v>2.0694834776826601</v>
      </c>
      <c r="G233" s="349"/>
      <c r="H233" s="351">
        <v>3099.5498582222226</v>
      </c>
      <c r="I233" s="351">
        <f t="shared" si="73"/>
        <v>2.3282673403803846</v>
      </c>
      <c r="J233" s="349"/>
      <c r="K233" s="345">
        <v>4030.2408197944437</v>
      </c>
      <c r="L233" s="355">
        <f t="shared" si="70"/>
        <v>2.8023133356242109</v>
      </c>
      <c r="M233" s="351"/>
      <c r="N233" s="345">
        <v>2656.3706946606931</v>
      </c>
      <c r="O233" s="355">
        <f t="shared" si="74"/>
        <v>1.7543910637306905</v>
      </c>
      <c r="P233" s="355"/>
    </row>
    <row r="234" spans="1:16" s="4" customFormat="1" ht="15.75" customHeight="1" x14ac:dyDescent="0.25">
      <c r="A234" s="105" t="s">
        <v>32</v>
      </c>
      <c r="B234" s="363">
        <v>268.74400000000003</v>
      </c>
      <c r="C234" s="364">
        <f t="shared" si="71"/>
        <v>0.22813158254904312</v>
      </c>
      <c r="D234" s="173"/>
      <c r="E234" s="351">
        <v>278.149</v>
      </c>
      <c r="F234" s="351">
        <f>(E234/$E$208)*100</f>
        <v>0.22059389424921466</v>
      </c>
      <c r="G234" s="349"/>
      <c r="H234" s="351">
        <v>97.257000000000005</v>
      </c>
      <c r="I234" s="351">
        <f t="shared" si="73"/>
        <v>7.30558652323961E-2</v>
      </c>
      <c r="J234" s="349"/>
      <c r="K234" s="345">
        <v>468.26</v>
      </c>
      <c r="L234" s="355">
        <f t="shared" si="70"/>
        <v>0.32559127387487491</v>
      </c>
      <c r="M234" s="351"/>
      <c r="N234" s="345">
        <v>155.19999999999999</v>
      </c>
      <c r="O234" s="355">
        <f t="shared" si="74"/>
        <v>0.10250131641577327</v>
      </c>
      <c r="P234" s="355"/>
    </row>
    <row r="235" spans="1:16" s="4" customFormat="1" ht="15.75" customHeight="1" x14ac:dyDescent="0.25">
      <c r="A235" s="105" t="s">
        <v>147</v>
      </c>
      <c r="B235" s="367" t="s">
        <v>72</v>
      </c>
      <c r="C235" s="364">
        <v>0</v>
      </c>
      <c r="D235" s="173"/>
      <c r="E235" s="50" t="s">
        <v>72</v>
      </c>
      <c r="F235" s="351"/>
      <c r="G235" s="349"/>
      <c r="H235" s="50" t="s">
        <v>72</v>
      </c>
      <c r="I235" s="351">
        <v>0</v>
      </c>
      <c r="J235" s="349"/>
      <c r="K235" s="346" t="s">
        <v>72</v>
      </c>
      <c r="L235" s="346">
        <v>0</v>
      </c>
      <c r="M235" s="351"/>
      <c r="N235" s="346"/>
      <c r="O235" s="355">
        <f t="shared" si="74"/>
        <v>0</v>
      </c>
      <c r="P235" s="355"/>
    </row>
    <row r="236" spans="1:16" s="4" customFormat="1" ht="15.75" customHeight="1" x14ac:dyDescent="0.25">
      <c r="A236" s="178" t="s">
        <v>34</v>
      </c>
      <c r="B236" s="366">
        <f>SUM(B237:B244)</f>
        <v>42957.167412130824</v>
      </c>
      <c r="C236" s="368">
        <f>B236/$B$208*100</f>
        <v>36.465508378060854</v>
      </c>
      <c r="D236" s="173"/>
      <c r="E236" s="366">
        <f>SUM(E237:E244)</f>
        <v>44767.725331074616</v>
      </c>
      <c r="F236" s="347">
        <f>(E236/$E$208)*100</f>
        <v>35.504304769964882</v>
      </c>
      <c r="G236" s="111"/>
      <c r="H236" s="366">
        <f>SUM(H237:H244)</f>
        <v>48229.24457608712</v>
      </c>
      <c r="I236" s="347">
        <f>H236/$H$208*100</f>
        <v>36.228026692278092</v>
      </c>
      <c r="J236" s="349"/>
      <c r="K236" s="366">
        <f>SUM(K237:K244)</f>
        <v>51016.503075855639</v>
      </c>
      <c r="L236" s="340">
        <f t="shared" ref="L236:L243" si="75">K236/$K$208*100</f>
        <v>35.472874525070068</v>
      </c>
      <c r="M236" s="347"/>
      <c r="N236" s="366">
        <f>SUM(N237:N244)</f>
        <v>56692.32893096382</v>
      </c>
      <c r="O236" s="340">
        <f>N236/$N$208*100</f>
        <v>37.44225738466379</v>
      </c>
      <c r="P236" s="340"/>
    </row>
    <row r="237" spans="1:16" s="4" customFormat="1" ht="15.75" customHeight="1" x14ac:dyDescent="0.25">
      <c r="A237" s="20" t="s">
        <v>35</v>
      </c>
      <c r="B237" s="363">
        <v>7492.9837769394198</v>
      </c>
      <c r="C237" s="364">
        <f t="shared" ref="C237:C243" si="76">B237/$B$208*100</f>
        <v>6.3606489709444531</v>
      </c>
      <c r="D237" s="173"/>
      <c r="E237" s="351">
        <v>7357.6288249967847</v>
      </c>
      <c r="F237" s="351">
        <f>(E237/$E$208)*100</f>
        <v>5.8351746543985925</v>
      </c>
      <c r="G237" s="349"/>
      <c r="H237" s="351">
        <v>8273.5523640870924</v>
      </c>
      <c r="I237" s="351">
        <f>H237/$H$208*100</f>
        <v>6.2147868688517915</v>
      </c>
      <c r="J237" s="349"/>
      <c r="K237" s="345">
        <v>9180.7249866773254</v>
      </c>
      <c r="L237" s="355">
        <f t="shared" si="75"/>
        <v>6.3835560233783895</v>
      </c>
      <c r="M237" s="351"/>
      <c r="N237" s="345">
        <v>9775.2433637257982</v>
      </c>
      <c r="O237" s="355">
        <f>N237/$N$208*100</f>
        <v>6.4560265017167913</v>
      </c>
      <c r="P237" s="355"/>
    </row>
    <row r="238" spans="1:16" s="4" customFormat="1" ht="15.75" customHeight="1" x14ac:dyDescent="0.25">
      <c r="A238" s="20" t="s">
        <v>148</v>
      </c>
      <c r="B238" s="363">
        <v>1795.9823402809261</v>
      </c>
      <c r="C238" s="364">
        <f t="shared" si="76"/>
        <v>1.524574664061046</v>
      </c>
      <c r="D238" s="173"/>
      <c r="E238" s="351">
        <v>1789.6150397865522</v>
      </c>
      <c r="F238" s="351">
        <f t="shared" ref="F238:F243" si="77">(E238/$E$208)*100</f>
        <v>1.4193045843539929</v>
      </c>
      <c r="G238" s="349"/>
      <c r="H238" s="351">
        <v>1636.8958337374997</v>
      </c>
      <c r="I238" s="351">
        <f t="shared" ref="I238:I243" si="78">H238/$H$208*100</f>
        <v>1.2295756750567817</v>
      </c>
      <c r="J238" s="349"/>
      <c r="K238" s="345">
        <v>1225.3453867187502</v>
      </c>
      <c r="L238" s="355">
        <f t="shared" si="75"/>
        <v>0.85200906632738027</v>
      </c>
      <c r="M238" s="351"/>
      <c r="N238" s="345">
        <v>1370.4024937499998</v>
      </c>
      <c r="O238" s="355">
        <f t="shared" ref="O238:O243" si="79">N238/$N$208*100</f>
        <v>0.9050777037940303</v>
      </c>
      <c r="P238" s="355"/>
    </row>
    <row r="239" spans="1:16" s="4" customFormat="1" ht="15.75" customHeight="1" x14ac:dyDescent="0.25">
      <c r="A239" s="20" t="s">
        <v>37</v>
      </c>
      <c r="B239" s="363">
        <v>5002.781455680195</v>
      </c>
      <c r="C239" s="364">
        <f t="shared" si="76"/>
        <v>4.2467643952286505</v>
      </c>
      <c r="D239" s="173"/>
      <c r="E239" s="351">
        <v>4671.3683949180677</v>
      </c>
      <c r="F239" s="351">
        <f t="shared" si="77"/>
        <v>3.7047602030123414</v>
      </c>
      <c r="G239" s="349"/>
      <c r="H239" s="351">
        <v>5068.7027524248315</v>
      </c>
      <c r="I239" s="351">
        <f t="shared" si="78"/>
        <v>3.8074222439950192</v>
      </c>
      <c r="J239" s="349"/>
      <c r="K239" s="345">
        <v>4793.4507438316577</v>
      </c>
      <c r="L239" s="355">
        <f t="shared" si="75"/>
        <v>3.3329896509217445</v>
      </c>
      <c r="M239" s="351"/>
      <c r="N239" s="345">
        <v>4761.0997173630776</v>
      </c>
      <c r="O239" s="355">
        <f t="shared" si="79"/>
        <v>3.144452246240216</v>
      </c>
      <c r="P239" s="355"/>
    </row>
    <row r="240" spans="1:16" s="4" customFormat="1" ht="15.75" customHeight="1" x14ac:dyDescent="0.25">
      <c r="A240" s="20" t="s">
        <v>38</v>
      </c>
      <c r="B240" s="363">
        <v>671.35955416666673</v>
      </c>
      <c r="C240" s="364">
        <f t="shared" si="76"/>
        <v>0.56990413758618508</v>
      </c>
      <c r="D240" s="173"/>
      <c r="E240" s="351">
        <v>512.93554800231482</v>
      </c>
      <c r="F240" s="351">
        <f t="shared" si="77"/>
        <v>0.40679797530347261</v>
      </c>
      <c r="G240" s="349"/>
      <c r="H240" s="351">
        <v>634.69662688333335</v>
      </c>
      <c r="I240" s="351">
        <f t="shared" si="78"/>
        <v>0.47676065719737587</v>
      </c>
      <c r="J240" s="349"/>
      <c r="K240" s="345">
        <v>451.22602541666669</v>
      </c>
      <c r="L240" s="355">
        <f t="shared" si="75"/>
        <v>0.31374718408770597</v>
      </c>
      <c r="M240" s="351"/>
      <c r="N240" s="345">
        <v>776.13787879137726</v>
      </c>
      <c r="O240" s="355">
        <f t="shared" si="79"/>
        <v>0.51259764366148219</v>
      </c>
      <c r="P240" s="355"/>
    </row>
    <row r="241" spans="1:16" s="4" customFormat="1" ht="15.75" customHeight="1" x14ac:dyDescent="0.25">
      <c r="A241" s="20" t="s">
        <v>39</v>
      </c>
      <c r="B241" s="363">
        <v>8643.340152138242</v>
      </c>
      <c r="C241" s="364">
        <f t="shared" si="76"/>
        <v>7.3371642433579325</v>
      </c>
      <c r="D241" s="173"/>
      <c r="E241" s="351">
        <v>8933.069602009542</v>
      </c>
      <c r="F241" s="351">
        <f t="shared" si="77"/>
        <v>7.0846223107275836</v>
      </c>
      <c r="G241" s="349"/>
      <c r="H241" s="351">
        <v>9663.9269785852484</v>
      </c>
      <c r="I241" s="351">
        <f t="shared" si="78"/>
        <v>7.2591849117620386</v>
      </c>
      <c r="J241" s="349"/>
      <c r="K241" s="345">
        <v>11084.295953146884</v>
      </c>
      <c r="L241" s="355">
        <f t="shared" si="75"/>
        <v>7.7071499581241518</v>
      </c>
      <c r="M241" s="351"/>
      <c r="N241" s="345">
        <v>14704.407058835741</v>
      </c>
      <c r="O241" s="355">
        <f t="shared" si="79"/>
        <v>9.7114760350776574</v>
      </c>
      <c r="P241" s="355"/>
    </row>
    <row r="242" spans="1:16" s="4" customFormat="1" ht="15.75" customHeight="1" x14ac:dyDescent="0.25">
      <c r="A242" s="20" t="s">
        <v>40</v>
      </c>
      <c r="B242" s="363">
        <v>9633.6896795700632</v>
      </c>
      <c r="C242" s="364">
        <f t="shared" si="76"/>
        <v>8.1778527981525269</v>
      </c>
      <c r="D242" s="173"/>
      <c r="E242" s="351">
        <v>10381.262141962434</v>
      </c>
      <c r="F242" s="351">
        <f t="shared" si="77"/>
        <v>8.2331521706618993</v>
      </c>
      <c r="G242" s="349"/>
      <c r="H242" s="351">
        <v>10591.074029273334</v>
      </c>
      <c r="I242" s="351">
        <f t="shared" si="78"/>
        <v>7.9556235227173655</v>
      </c>
      <c r="J242" s="349"/>
      <c r="K242" s="345">
        <v>10581.305775011289</v>
      </c>
      <c r="L242" s="355">
        <f t="shared" si="75"/>
        <v>7.3574100425949185</v>
      </c>
      <c r="M242" s="351"/>
      <c r="N242" s="345">
        <v>11741.47640833683</v>
      </c>
      <c r="O242" s="355">
        <f t="shared" si="79"/>
        <v>7.7546184827272588</v>
      </c>
      <c r="P242" s="355"/>
    </row>
    <row r="243" spans="1:16" s="4" customFormat="1" ht="15.75" customHeight="1" x14ac:dyDescent="0.25">
      <c r="A243" s="20" t="s">
        <v>41</v>
      </c>
      <c r="B243" s="363">
        <v>9717.0304533553044</v>
      </c>
      <c r="C243" s="364">
        <f t="shared" si="76"/>
        <v>8.2485991687300597</v>
      </c>
      <c r="D243" s="173"/>
      <c r="E243" s="351">
        <v>11121.845779398924</v>
      </c>
      <c r="F243" s="351">
        <f t="shared" si="77"/>
        <v>8.8204928715069997</v>
      </c>
      <c r="G243" s="349"/>
      <c r="H243" s="351">
        <v>12360.39599109578</v>
      </c>
      <c r="I243" s="351">
        <f t="shared" si="78"/>
        <v>9.2846728126977212</v>
      </c>
      <c r="J243" s="349"/>
      <c r="K243" s="345">
        <v>13700.154205053073</v>
      </c>
      <c r="L243" s="355">
        <f t="shared" si="75"/>
        <v>9.5260125996357878</v>
      </c>
      <c r="M243" s="351"/>
      <c r="N243" s="345">
        <v>13563.562010160995</v>
      </c>
      <c r="O243" s="355">
        <f t="shared" si="79"/>
        <v>8.9580087714463534</v>
      </c>
      <c r="P243" s="355"/>
    </row>
    <row r="244" spans="1:16" s="4" customFormat="1" ht="15.75" customHeight="1" x14ac:dyDescent="0.25">
      <c r="A244" s="20" t="s">
        <v>42</v>
      </c>
      <c r="B244" s="363" t="s">
        <v>72</v>
      </c>
      <c r="C244" s="368"/>
      <c r="D244" s="173"/>
      <c r="E244" s="50" t="s">
        <v>72</v>
      </c>
      <c r="F244" s="351">
        <v>0</v>
      </c>
      <c r="G244" s="349"/>
      <c r="H244" s="50" t="s">
        <v>72</v>
      </c>
      <c r="I244" s="351">
        <v>0</v>
      </c>
      <c r="J244" s="349"/>
      <c r="K244" s="353" t="s">
        <v>72</v>
      </c>
      <c r="L244" s="346">
        <v>0</v>
      </c>
      <c r="M244" s="351"/>
      <c r="N244" s="353" t="s">
        <v>72</v>
      </c>
      <c r="O244" s="340"/>
      <c r="P244" s="340"/>
    </row>
    <row r="245" spans="1:16" s="4" customFormat="1" ht="15.75" customHeight="1" x14ac:dyDescent="0.25">
      <c r="A245" s="178" t="s">
        <v>156</v>
      </c>
      <c r="B245" s="366">
        <f>SUM(B246:B249)</f>
        <v>7325.6002141207982</v>
      </c>
      <c r="C245" s="368">
        <f>B245/$B$208*100</f>
        <v>6.2185603026262424</v>
      </c>
      <c r="D245" s="173"/>
      <c r="E245" s="366">
        <f>SUM(E246:E249)</f>
        <v>8334.0069935224237</v>
      </c>
      <c r="F245" s="347">
        <f>(E245/$E$208)*100</f>
        <v>6.6095188456593439</v>
      </c>
      <c r="G245" s="349"/>
      <c r="H245" s="366">
        <f>SUM(H246:H249)</f>
        <v>8857.9440809153239</v>
      </c>
      <c r="I245" s="347">
        <f>H245/$H$208*100</f>
        <v>6.6537603361346802</v>
      </c>
      <c r="J245" s="349"/>
      <c r="K245" s="366">
        <f>SUM(K246:K249)</f>
        <v>8414.9547154998036</v>
      </c>
      <c r="L245" s="340">
        <f>K245/$K$208*100</f>
        <v>5.85109944351208</v>
      </c>
      <c r="M245" s="347"/>
      <c r="N245" s="366">
        <f>SUM(N246:N249)</f>
        <v>8600.6138114572459</v>
      </c>
      <c r="O245" s="340">
        <f>N245/$N$208*100</f>
        <v>5.6802463766626872</v>
      </c>
      <c r="P245" s="340"/>
    </row>
    <row r="246" spans="1:16" s="4" customFormat="1" ht="15.75" customHeight="1" x14ac:dyDescent="0.25">
      <c r="A246" s="167" t="s">
        <v>44</v>
      </c>
      <c r="B246" s="363">
        <v>4724.2339115147333</v>
      </c>
      <c r="C246" s="364">
        <f t="shared" ref="C246:C251" si="80">B246/$B$208*100</f>
        <v>4.010310773694342</v>
      </c>
      <c r="D246" s="173"/>
      <c r="E246" s="351">
        <v>5588.6206816519561</v>
      </c>
      <c r="F246" s="351">
        <f>(E246/$E$208)*100</f>
        <v>4.4322129493447955</v>
      </c>
      <c r="G246" s="349"/>
      <c r="H246" s="351">
        <v>6082.269628964541</v>
      </c>
      <c r="I246" s="351">
        <f>H246/$H$208*100</f>
        <v>4.5687762353427441</v>
      </c>
      <c r="J246" s="349"/>
      <c r="K246" s="345">
        <v>5464.15083337756</v>
      </c>
      <c r="L246" s="355">
        <f>K246/$K$208*100</f>
        <v>3.7993418837480442</v>
      </c>
      <c r="M246" s="351"/>
      <c r="N246" s="345">
        <v>5815.4326349591956</v>
      </c>
      <c r="O246" s="355">
        <f>N246/$N$208*100</f>
        <v>3.8407828647588058</v>
      </c>
      <c r="P246" s="355"/>
    </row>
    <row r="247" spans="1:16" s="4" customFormat="1" ht="15.75" customHeight="1" x14ac:dyDescent="0.25">
      <c r="A247" s="167" t="s">
        <v>149</v>
      </c>
      <c r="B247" s="363">
        <v>792.53702686555653</v>
      </c>
      <c r="C247" s="364">
        <f t="shared" si="80"/>
        <v>0.67276934989265957</v>
      </c>
      <c r="D247" s="173"/>
      <c r="E247" s="351">
        <v>877.30133228202635</v>
      </c>
      <c r="F247" s="351">
        <f>(E247/$E$208)*100</f>
        <v>0.69576851729870115</v>
      </c>
      <c r="G247" s="349"/>
      <c r="H247" s="351">
        <v>900.25604468721781</v>
      </c>
      <c r="I247" s="351">
        <f t="shared" ref="I247:I248" si="81">H247/$H$208*100</f>
        <v>0.67623908073783212</v>
      </c>
      <c r="J247" s="349"/>
      <c r="K247" s="345">
        <v>906.08664929379938</v>
      </c>
      <c r="L247" s="355">
        <f>K247/$K$208*100</f>
        <v>0.63002158284838594</v>
      </c>
      <c r="M247" s="351"/>
      <c r="N247" s="345">
        <v>1023.4777994853513</v>
      </c>
      <c r="O247" s="355">
        <f t="shared" ref="O247:O248" si="82">N247/$N$208*100</f>
        <v>0.67595245985545982</v>
      </c>
      <c r="P247" s="355"/>
    </row>
    <row r="248" spans="1:16" s="4" customFormat="1" ht="15.75" customHeight="1" x14ac:dyDescent="0.25">
      <c r="A248" s="167" t="s">
        <v>150</v>
      </c>
      <c r="B248" s="363">
        <v>1808.8292757405081</v>
      </c>
      <c r="C248" s="364">
        <f t="shared" si="80"/>
        <v>1.5354801790392403</v>
      </c>
      <c r="D248" s="173"/>
      <c r="E248" s="351">
        <v>1868.0849795884419</v>
      </c>
      <c r="F248" s="351">
        <f t="shared" ref="F248" si="83">(E248/$E$208)*100</f>
        <v>1.4815373790158479</v>
      </c>
      <c r="G248" s="349"/>
      <c r="H248" s="351">
        <v>1875.4184072635651</v>
      </c>
      <c r="I248" s="351">
        <f t="shared" si="81"/>
        <v>1.4087450200541034</v>
      </c>
      <c r="J248" s="349"/>
      <c r="K248" s="345">
        <v>2044.7172328284439</v>
      </c>
      <c r="L248" s="355">
        <f>K248/$K$208*100</f>
        <v>1.4217359769156499</v>
      </c>
      <c r="M248" s="351"/>
      <c r="N248" s="345">
        <v>1761.7033770126995</v>
      </c>
      <c r="O248" s="355">
        <f t="shared" si="82"/>
        <v>1.1635110520484218</v>
      </c>
      <c r="P248" s="355"/>
    </row>
    <row r="249" spans="1:16" s="4" customFormat="1" ht="15.75" customHeight="1" x14ac:dyDescent="0.25">
      <c r="A249" s="20" t="s">
        <v>47</v>
      </c>
      <c r="B249" s="363" t="s">
        <v>72</v>
      </c>
      <c r="C249" s="364"/>
      <c r="D249" s="173"/>
      <c r="E249" s="50" t="s">
        <v>72</v>
      </c>
      <c r="F249" s="351">
        <v>0</v>
      </c>
      <c r="G249" s="349"/>
      <c r="H249" s="50" t="s">
        <v>72</v>
      </c>
      <c r="I249" s="351">
        <v>0</v>
      </c>
      <c r="J249" s="349"/>
      <c r="K249" s="353" t="s">
        <v>72</v>
      </c>
      <c r="L249" s="346">
        <v>0</v>
      </c>
      <c r="M249" s="351"/>
      <c r="N249" s="353" t="s">
        <v>72</v>
      </c>
      <c r="O249" s="340"/>
      <c r="P249" s="340"/>
    </row>
    <row r="250" spans="1:16" s="4" customFormat="1" ht="15.75" customHeight="1" x14ac:dyDescent="0.25">
      <c r="A250" s="204" t="s">
        <v>48</v>
      </c>
      <c r="B250" s="366">
        <f>SUM(B251:B253)</f>
        <v>15583.994080909271</v>
      </c>
      <c r="C250" s="368">
        <f>B250/$B$208*100</f>
        <v>13.228951091420655</v>
      </c>
      <c r="D250" s="173"/>
      <c r="E250" s="366">
        <f>SUM(E251:E253)</f>
        <v>16298.104512008949</v>
      </c>
      <c r="F250" s="347">
        <f>(E250/$E$208)*100</f>
        <v>12.925670569316267</v>
      </c>
      <c r="G250" s="349"/>
      <c r="H250" s="366">
        <f>SUM(H251:H253)</f>
        <v>21164.918990150378</v>
      </c>
      <c r="I250" s="347">
        <f>H250/$H$208*100</f>
        <v>15.898305205784743</v>
      </c>
      <c r="J250" s="349"/>
      <c r="K250" s="366">
        <f>SUM(K251:K253)</f>
        <v>24656.03158119832</v>
      </c>
      <c r="L250" s="340">
        <f>K250/$K$208*100</f>
        <v>17.143870352414272</v>
      </c>
      <c r="M250" s="347"/>
      <c r="N250" s="366">
        <f>SUM(N251:N253)</f>
        <v>23958.163693340681</v>
      </c>
      <c r="O250" s="340">
        <f>N250/$N$208*100</f>
        <v>15.823088385773223</v>
      </c>
      <c r="P250" s="340"/>
    </row>
    <row r="251" spans="1:16" s="4" customFormat="1" ht="15.75" customHeight="1" x14ac:dyDescent="0.25">
      <c r="A251" s="20" t="s">
        <v>49</v>
      </c>
      <c r="B251" s="363">
        <v>15583.994080909271</v>
      </c>
      <c r="C251" s="364">
        <f t="shared" si="80"/>
        <v>13.228951091420655</v>
      </c>
      <c r="D251" s="173"/>
      <c r="E251" s="351">
        <v>16298.104512008949</v>
      </c>
      <c r="F251" s="351">
        <f>(E251/$E$208)*100</f>
        <v>12.925670569316267</v>
      </c>
      <c r="G251" s="349"/>
      <c r="H251" s="351">
        <v>21164.918990150378</v>
      </c>
      <c r="I251" s="351">
        <f>H251/$H$208*100</f>
        <v>15.898305205784743</v>
      </c>
      <c r="J251" s="349"/>
      <c r="K251" s="345">
        <v>24656.03158119832</v>
      </c>
      <c r="L251" s="355">
        <f>K251/$K$208*100</f>
        <v>17.143870352414272</v>
      </c>
      <c r="M251" s="351"/>
      <c r="N251" s="345">
        <v>23958.163693340681</v>
      </c>
      <c r="O251" s="355">
        <f>N251/$N$208*100</f>
        <v>15.823088385773223</v>
      </c>
      <c r="P251" s="355"/>
    </row>
    <row r="252" spans="1:16" s="4" customFormat="1" ht="15.75" customHeight="1" x14ac:dyDescent="0.25">
      <c r="A252" s="20" t="s">
        <v>140</v>
      </c>
      <c r="B252" s="363" t="s">
        <v>72</v>
      </c>
      <c r="C252" s="364">
        <v>0</v>
      </c>
      <c r="D252" s="173"/>
      <c r="E252" s="50" t="s">
        <v>72</v>
      </c>
      <c r="F252" s="351">
        <v>0</v>
      </c>
      <c r="G252" s="19"/>
      <c r="H252" s="50" t="s">
        <v>72</v>
      </c>
      <c r="I252" s="351">
        <v>0</v>
      </c>
      <c r="J252" s="349"/>
      <c r="K252" s="351" t="s">
        <v>72</v>
      </c>
      <c r="L252" s="355">
        <v>0</v>
      </c>
      <c r="M252" s="351"/>
      <c r="N252" s="351" t="s">
        <v>72</v>
      </c>
      <c r="O252" s="355">
        <v>0</v>
      </c>
      <c r="P252" s="355"/>
    </row>
    <row r="253" spans="1:16" s="4" customFormat="1" ht="15.75" customHeight="1" x14ac:dyDescent="0.25">
      <c r="A253" s="20" t="s">
        <v>142</v>
      </c>
      <c r="B253" s="363" t="s">
        <v>72</v>
      </c>
      <c r="C253" s="364">
        <v>0</v>
      </c>
      <c r="D253" s="173"/>
      <c r="E253" s="351" t="s">
        <v>72</v>
      </c>
      <c r="F253" s="351">
        <v>0</v>
      </c>
      <c r="G253" s="349"/>
      <c r="H253" s="351" t="s">
        <v>72</v>
      </c>
      <c r="I253" s="351">
        <v>0</v>
      </c>
      <c r="J253" s="349"/>
      <c r="K253" s="351" t="s">
        <v>72</v>
      </c>
      <c r="L253" s="355">
        <v>0</v>
      </c>
      <c r="M253" s="351"/>
      <c r="N253" s="351" t="s">
        <v>72</v>
      </c>
      <c r="O253" s="355">
        <v>0</v>
      </c>
      <c r="P253" s="355"/>
    </row>
    <row r="254" spans="1:16" s="4" customFormat="1" ht="15.75" customHeight="1" x14ac:dyDescent="0.25">
      <c r="A254" s="104" t="s">
        <v>52</v>
      </c>
      <c r="B254" s="366">
        <f>SUM(B255:B259)</f>
        <v>77445.21637395244</v>
      </c>
      <c r="C254" s="368">
        <f>B254/$B$254*100</f>
        <v>100</v>
      </c>
      <c r="D254" s="173"/>
      <c r="E254" s="347">
        <f>SUM(E255:E259)</f>
        <v>83038.874400228262</v>
      </c>
      <c r="F254" s="347">
        <f>E254/$E$254*100</f>
        <v>100</v>
      </c>
      <c r="G254" s="349"/>
      <c r="H254" s="347">
        <f>SUM(H255:H259)</f>
        <v>86492.636546388268</v>
      </c>
      <c r="I254" s="347">
        <f t="shared" ref="I254:I259" si="84">H254/$H$254*100</f>
        <v>100</v>
      </c>
      <c r="J254" s="349"/>
      <c r="K254" s="352">
        <f>SUM(K255:K259)</f>
        <v>90387.945029161972</v>
      </c>
      <c r="L254" s="341">
        <f t="shared" ref="L254:L259" si="85">K254/$K$254*100</f>
        <v>100</v>
      </c>
      <c r="M254" s="347"/>
      <c r="N254" s="352">
        <f>SUM(N255:N259)</f>
        <v>104145.90628798548</v>
      </c>
      <c r="O254" s="340">
        <f t="shared" ref="O254:O259" si="86">N254/$N$254*100</f>
        <v>100</v>
      </c>
      <c r="P254" s="340"/>
    </row>
    <row r="255" spans="1:16" s="4" customFormat="1" ht="15.75" customHeight="1" x14ac:dyDescent="0.25">
      <c r="A255" s="20" t="s">
        <v>123</v>
      </c>
      <c r="B255" s="363">
        <v>27254.693760968992</v>
      </c>
      <c r="C255" s="364">
        <f>B255/$B$254*100</f>
        <v>35.192223660873786</v>
      </c>
      <c r="D255" s="173"/>
      <c r="E255" s="351">
        <v>28993.867031770362</v>
      </c>
      <c r="F255" s="351">
        <f>E255/$E$254*100</f>
        <v>34.916016433491855</v>
      </c>
      <c r="G255" s="349"/>
      <c r="H255" s="351">
        <v>30280.102490157609</v>
      </c>
      <c r="I255" s="351">
        <f t="shared" si="84"/>
        <v>35.008879020490483</v>
      </c>
      <c r="J255" s="349"/>
      <c r="K255" s="345">
        <v>32063.430376480032</v>
      </c>
      <c r="L255" s="346">
        <f>K255/$K$254*100</f>
        <v>35.473126826962783</v>
      </c>
      <c r="M255" s="351"/>
      <c r="N255" s="345">
        <v>37038.927848412066</v>
      </c>
      <c r="O255" s="355">
        <f t="shared" si="86"/>
        <v>35.564458718129153</v>
      </c>
      <c r="P255" s="355"/>
    </row>
    <row r="256" spans="1:16" s="4" customFormat="1" ht="15.75" customHeight="1" x14ac:dyDescent="0.25">
      <c r="A256" s="20" t="s">
        <v>124</v>
      </c>
      <c r="B256" s="363">
        <v>7431.0769017601915</v>
      </c>
      <c r="C256" s="364">
        <f t="shared" ref="C256:C259" si="87">B256/$B$254*100</f>
        <v>9.5952690814090431</v>
      </c>
      <c r="D256" s="173"/>
      <c r="E256" s="351">
        <v>7483.0652373218254</v>
      </c>
      <c r="F256" s="351">
        <f>E256/$E$254*100</f>
        <v>9.011520557534503</v>
      </c>
      <c r="G256" s="349"/>
      <c r="H256" s="351">
        <v>7792.5016613129674</v>
      </c>
      <c r="I256" s="351">
        <f t="shared" si="84"/>
        <v>9.009439384049351</v>
      </c>
      <c r="J256" s="349"/>
      <c r="K256" s="345">
        <v>8103.5433271122474</v>
      </c>
      <c r="L256" s="346">
        <f t="shared" si="85"/>
        <v>8.9652921354698254</v>
      </c>
      <c r="M256" s="351"/>
      <c r="N256" s="345">
        <v>8064.4400908969892</v>
      </c>
      <c r="O256" s="355">
        <f t="shared" si="86"/>
        <v>7.7434057452024145</v>
      </c>
      <c r="P256" s="355"/>
    </row>
    <row r="257" spans="1:16331" s="4" customFormat="1" ht="15.75" customHeight="1" x14ac:dyDescent="0.25">
      <c r="A257" s="20" t="s">
        <v>56</v>
      </c>
      <c r="B257" s="363">
        <v>20597.955298584588</v>
      </c>
      <c r="C257" s="364">
        <f t="shared" si="87"/>
        <v>26.596807734547706</v>
      </c>
      <c r="D257" s="173"/>
      <c r="E257" s="351">
        <v>22438.108912589043</v>
      </c>
      <c r="F257" s="351">
        <f t="shared" ref="F257:F259" si="88">E257/$E$254*100</f>
        <v>27.021210336308897</v>
      </c>
      <c r="G257" s="349"/>
      <c r="H257" s="351">
        <v>22463.555096984888</v>
      </c>
      <c r="I257" s="351">
        <f t="shared" si="84"/>
        <v>25.971638735902214</v>
      </c>
      <c r="J257" s="349"/>
      <c r="K257" s="345">
        <v>22036.205733734234</v>
      </c>
      <c r="L257" s="346">
        <f t="shared" si="85"/>
        <v>24.379584829176796</v>
      </c>
      <c r="M257" s="351"/>
      <c r="N257" s="345">
        <v>28332.195547767413</v>
      </c>
      <c r="O257" s="355">
        <f t="shared" si="86"/>
        <v>27.204329538813454</v>
      </c>
      <c r="P257" s="355"/>
    </row>
    <row r="258" spans="1:16331" s="4" customFormat="1" ht="15.75" customHeight="1" x14ac:dyDescent="0.25">
      <c r="A258" s="20" t="s">
        <v>57</v>
      </c>
      <c r="B258" s="363">
        <v>14220.174859308248</v>
      </c>
      <c r="C258" s="364">
        <f t="shared" si="87"/>
        <v>18.361592264969119</v>
      </c>
      <c r="D258" s="173"/>
      <c r="E258" s="351">
        <v>15249.23601076641</v>
      </c>
      <c r="F258" s="351">
        <f t="shared" si="88"/>
        <v>18.363972441712782</v>
      </c>
      <c r="G258" s="354"/>
      <c r="H258" s="351">
        <v>15636.128560743322</v>
      </c>
      <c r="I258" s="351">
        <f t="shared" si="84"/>
        <v>18.077988121401823</v>
      </c>
      <c r="J258" s="349"/>
      <c r="K258" s="345">
        <v>16053.053683130374</v>
      </c>
      <c r="L258" s="346">
        <f t="shared" si="85"/>
        <v>17.760171091345374</v>
      </c>
      <c r="M258" s="351"/>
      <c r="N258" s="345">
        <v>16502.046763412287</v>
      </c>
      <c r="O258" s="355">
        <f t="shared" si="86"/>
        <v>15.845122820075744</v>
      </c>
      <c r="P258" s="355"/>
    </row>
    <row r="259" spans="1:16331" s="4" customFormat="1" ht="15.75" customHeight="1" x14ac:dyDescent="0.25">
      <c r="A259" s="20" t="s">
        <v>58</v>
      </c>
      <c r="B259" s="363">
        <v>7941.3155533304225</v>
      </c>
      <c r="C259" s="364">
        <f t="shared" si="87"/>
        <v>10.254107258200349</v>
      </c>
      <c r="D259" s="173"/>
      <c r="E259" s="351">
        <v>8874.5972077806255</v>
      </c>
      <c r="F259" s="351">
        <f t="shared" si="88"/>
        <v>10.687280230951963</v>
      </c>
      <c r="G259" s="349"/>
      <c r="H259" s="351">
        <v>10320.348737189466</v>
      </c>
      <c r="I259" s="351">
        <f t="shared" si="84"/>
        <v>11.932054738156111</v>
      </c>
      <c r="J259" s="349"/>
      <c r="K259" s="345">
        <v>12131.711908705085</v>
      </c>
      <c r="L259" s="346">
        <f t="shared" si="85"/>
        <v>13.421825117045216</v>
      </c>
      <c r="M259" s="351"/>
      <c r="N259" s="345">
        <v>14208.296037496722</v>
      </c>
      <c r="O259" s="355">
        <f t="shared" si="86"/>
        <v>13.642683177779237</v>
      </c>
      <c r="P259" s="355"/>
    </row>
    <row r="260" spans="1:16331" s="4" customFormat="1" ht="21.75" customHeight="1" x14ac:dyDescent="0.25">
      <c r="A260" s="104" t="s">
        <v>61</v>
      </c>
      <c r="B260" s="366">
        <f>SUM(B261:B262)</f>
        <v>2535.6618435192586</v>
      </c>
      <c r="C260" s="368">
        <f>B260/$B$260*100</f>
        <v>100</v>
      </c>
      <c r="D260" s="173"/>
      <c r="E260" s="347">
        <f>SUM(E261:E262)</f>
        <v>2719.8073644382757</v>
      </c>
      <c r="F260" s="347">
        <f>E260/$E$260*100</f>
        <v>100</v>
      </c>
      <c r="G260" s="349"/>
      <c r="H260" s="347">
        <f>SUM(H261:H262)</f>
        <v>2870.8082766009484</v>
      </c>
      <c r="I260" s="347">
        <f>H260/$H$260*100</f>
        <v>100</v>
      </c>
      <c r="J260" s="349"/>
      <c r="K260" s="343">
        <f>SUM(K261:K262)</f>
        <v>3145.6712880147829</v>
      </c>
      <c r="L260" s="341">
        <f>K260/$K$260*100</f>
        <v>100</v>
      </c>
      <c r="M260" s="347"/>
      <c r="N260" s="343">
        <f>SUM(N261:N262)</f>
        <v>3533.9167371540907</v>
      </c>
      <c r="O260" s="343">
        <f>N260/$N$260*100</f>
        <v>100</v>
      </c>
      <c r="P260" s="343"/>
    </row>
    <row r="261" spans="1:16331" s="4" customFormat="1" ht="15.75" customHeight="1" x14ac:dyDescent="0.25">
      <c r="A261" s="20" t="s">
        <v>143</v>
      </c>
      <c r="B261" s="363">
        <v>274.21615105317818</v>
      </c>
      <c r="C261" s="364">
        <f>B261/$B$260*100</f>
        <v>10.814381726570927</v>
      </c>
      <c r="D261" s="173"/>
      <c r="E261" s="351">
        <v>270.24283919063862</v>
      </c>
      <c r="F261" s="351">
        <f>E261/$E$260*100</f>
        <v>9.9361021932688285</v>
      </c>
      <c r="G261" s="349"/>
      <c r="H261" s="351">
        <v>266.32709945540211</v>
      </c>
      <c r="I261" s="351">
        <f>H261/$H$260*100</f>
        <v>9.2770771780947605</v>
      </c>
      <c r="J261" s="349"/>
      <c r="K261" s="345">
        <v>262.46809764417515</v>
      </c>
      <c r="L261" s="346">
        <f>K261/$K$260*100</f>
        <v>8.3437865438832102</v>
      </c>
      <c r="M261" s="351"/>
      <c r="N261" s="345">
        <v>258.66501164102596</v>
      </c>
      <c r="O261" s="344">
        <f>N261/$N$260*100</f>
        <v>7.3194993227070846</v>
      </c>
      <c r="P261" s="344"/>
    </row>
    <row r="262" spans="1:16331" s="4" customFormat="1" ht="15.75" customHeight="1" x14ac:dyDescent="0.25">
      <c r="A262" s="20" t="s">
        <v>130</v>
      </c>
      <c r="B262" s="365">
        <v>2261.4456924660803</v>
      </c>
      <c r="C262" s="364">
        <f>B262/$B$260*100</f>
        <v>89.185618273429071</v>
      </c>
      <c r="D262" s="20"/>
      <c r="E262" s="351">
        <v>2449.564525247637</v>
      </c>
      <c r="F262" s="351">
        <f>E262/$E$260*100</f>
        <v>90.063897806731163</v>
      </c>
      <c r="G262" s="112"/>
      <c r="H262" s="351">
        <v>2604.4811771455461</v>
      </c>
      <c r="I262" s="351">
        <f>H262/$H$260*100</f>
        <v>90.722922821905229</v>
      </c>
      <c r="J262" s="349"/>
      <c r="K262" s="345">
        <v>2883.2031903706079</v>
      </c>
      <c r="L262" s="346">
        <f>K262/$K$260*100</f>
        <v>91.656213456116802</v>
      </c>
      <c r="M262" s="351"/>
      <c r="N262" s="345">
        <v>3275.2517255130647</v>
      </c>
      <c r="O262" s="344">
        <f>N262/$N$260*100</f>
        <v>92.680500677292912</v>
      </c>
      <c r="P262" s="344"/>
    </row>
    <row r="263" spans="1:16331" s="4" customFormat="1" ht="4.5" customHeight="1" x14ac:dyDescent="0.25">
      <c r="A263" s="328"/>
      <c r="B263" s="328"/>
      <c r="C263" s="328"/>
      <c r="D263" s="328"/>
      <c r="E263" s="328"/>
      <c r="F263" s="328"/>
      <c r="G263" s="327"/>
      <c r="H263" s="328"/>
      <c r="I263" s="328"/>
      <c r="J263" s="333"/>
      <c r="K263" s="328"/>
      <c r="L263" s="328"/>
      <c r="M263" s="328"/>
      <c r="N263" s="339"/>
      <c r="O263" s="339"/>
      <c r="P263" s="339"/>
    </row>
    <row r="264" spans="1:16331" s="294" customFormat="1" ht="11.25" customHeight="1" x14ac:dyDescent="0.25">
      <c r="A264" s="246" t="s">
        <v>125</v>
      </c>
      <c r="B264" s="287"/>
      <c r="C264" s="287"/>
      <c r="D264" s="291"/>
      <c r="E264" s="291"/>
      <c r="F264" s="291"/>
      <c r="G264" s="297"/>
      <c r="H264" s="297"/>
      <c r="I264" s="297"/>
      <c r="J264" s="297"/>
      <c r="K264" s="298"/>
      <c r="L264" s="299"/>
      <c r="M264" s="297"/>
      <c r="N264" s="300"/>
      <c r="O264" s="301"/>
      <c r="P264" s="301"/>
      <c r="Q264" s="322"/>
      <c r="R264" s="297"/>
      <c r="S264" s="297"/>
      <c r="T264" s="297"/>
      <c r="U264" s="297"/>
      <c r="V264" s="297"/>
      <c r="W264" s="297"/>
      <c r="X264" s="297"/>
      <c r="Y264" s="297"/>
      <c r="Z264" s="297"/>
      <c r="AA264" s="297"/>
      <c r="AB264" s="297"/>
      <c r="AC264" s="297"/>
      <c r="AD264" s="297"/>
      <c r="AE264" s="297"/>
      <c r="AF264" s="297"/>
      <c r="AG264" s="297"/>
      <c r="AH264" s="297"/>
      <c r="AI264" s="297"/>
      <c r="AJ264" s="297"/>
      <c r="AK264" s="297"/>
      <c r="AL264" s="297"/>
      <c r="AM264" s="297"/>
      <c r="AN264" s="297"/>
      <c r="AO264" s="297"/>
      <c r="AP264" s="297"/>
      <c r="AQ264" s="297"/>
      <c r="AR264" s="297"/>
      <c r="AS264" s="297"/>
      <c r="AT264" s="297"/>
      <c r="AU264" s="297"/>
      <c r="AV264" s="297"/>
      <c r="AW264" s="297"/>
      <c r="AX264" s="297"/>
      <c r="AY264" s="297"/>
      <c r="AZ264" s="297"/>
      <c r="BA264" s="297"/>
      <c r="BB264" s="297"/>
      <c r="BC264" s="297"/>
      <c r="BD264" s="297"/>
      <c r="BE264" s="297"/>
      <c r="BF264" s="297"/>
      <c r="BG264" s="297"/>
      <c r="BH264" s="297"/>
      <c r="BI264" s="297"/>
      <c r="BJ264" s="297"/>
      <c r="BK264" s="297"/>
      <c r="BL264" s="297"/>
      <c r="BM264" s="297"/>
      <c r="BN264" s="297"/>
      <c r="BO264" s="297"/>
      <c r="BP264" s="297"/>
      <c r="BQ264" s="297"/>
      <c r="BR264" s="297"/>
      <c r="BS264" s="297"/>
      <c r="BT264" s="297"/>
      <c r="BU264" s="297"/>
      <c r="BV264" s="297"/>
      <c r="BW264" s="297"/>
      <c r="BX264" s="297"/>
      <c r="BY264" s="297"/>
      <c r="BZ264" s="297"/>
      <c r="CA264" s="297"/>
      <c r="CB264" s="297"/>
      <c r="CC264" s="297"/>
      <c r="CD264" s="297"/>
      <c r="CE264" s="297"/>
      <c r="CF264" s="297"/>
      <c r="CG264" s="297"/>
      <c r="CH264" s="297"/>
      <c r="CI264" s="297"/>
      <c r="CJ264" s="297"/>
      <c r="CK264" s="297"/>
      <c r="CL264" s="297"/>
      <c r="CM264" s="297"/>
      <c r="CN264" s="297"/>
      <c r="CO264" s="297"/>
      <c r="CP264" s="297"/>
      <c r="CQ264" s="297"/>
      <c r="CR264" s="297"/>
      <c r="CS264" s="297"/>
      <c r="CT264" s="297"/>
      <c r="CU264" s="297"/>
      <c r="CV264" s="297"/>
      <c r="CW264" s="297"/>
      <c r="CX264" s="297"/>
      <c r="CY264" s="297"/>
      <c r="CZ264" s="297"/>
      <c r="DA264" s="297"/>
      <c r="DB264" s="297"/>
      <c r="DC264" s="297"/>
      <c r="DD264" s="297"/>
      <c r="DE264" s="297"/>
      <c r="DF264" s="297"/>
      <c r="DG264" s="297"/>
      <c r="DH264" s="297"/>
      <c r="DI264" s="297"/>
      <c r="DJ264" s="297"/>
      <c r="DK264" s="297"/>
      <c r="DL264" s="297"/>
      <c r="DM264" s="297"/>
      <c r="DN264" s="297"/>
      <c r="DO264" s="297"/>
      <c r="DP264" s="297"/>
      <c r="DQ264" s="297"/>
      <c r="DR264" s="297"/>
      <c r="DS264" s="297"/>
      <c r="DT264" s="297"/>
      <c r="DU264" s="297"/>
      <c r="DV264" s="297"/>
      <c r="DW264" s="297"/>
      <c r="DX264" s="297"/>
      <c r="DY264" s="297"/>
      <c r="DZ264" s="297"/>
      <c r="EA264" s="297"/>
      <c r="EB264" s="297"/>
      <c r="EC264" s="297"/>
      <c r="ED264" s="297"/>
      <c r="EE264" s="297"/>
      <c r="EF264" s="297"/>
      <c r="EG264" s="297"/>
      <c r="EH264" s="297"/>
      <c r="EI264" s="297"/>
      <c r="EJ264" s="297"/>
      <c r="EK264" s="297"/>
      <c r="EL264" s="297"/>
      <c r="EM264" s="297"/>
      <c r="EN264" s="297"/>
      <c r="EO264" s="297"/>
      <c r="EP264" s="297"/>
      <c r="EQ264" s="297"/>
      <c r="ER264" s="297"/>
      <c r="ES264" s="297"/>
      <c r="ET264" s="297"/>
      <c r="EU264" s="297"/>
      <c r="EV264" s="297"/>
      <c r="EW264" s="297"/>
      <c r="EX264" s="297"/>
      <c r="EY264" s="297"/>
      <c r="EZ264" s="297"/>
      <c r="FA264" s="297"/>
      <c r="FB264" s="297"/>
      <c r="FC264" s="297"/>
      <c r="FD264" s="297"/>
      <c r="FE264" s="297"/>
      <c r="FF264" s="297"/>
      <c r="FG264" s="297"/>
      <c r="FH264" s="297"/>
      <c r="FI264" s="297"/>
      <c r="FJ264" s="297"/>
      <c r="FK264" s="297"/>
      <c r="FL264" s="297"/>
      <c r="FM264" s="297"/>
      <c r="FN264" s="297"/>
      <c r="FO264" s="297"/>
      <c r="FP264" s="297"/>
      <c r="FQ264" s="297"/>
      <c r="FR264" s="297"/>
      <c r="FS264" s="297"/>
      <c r="FT264" s="297"/>
      <c r="FU264" s="297"/>
      <c r="FV264" s="297"/>
      <c r="FW264" s="297"/>
      <c r="FX264" s="297"/>
      <c r="FY264" s="297"/>
      <c r="FZ264" s="297"/>
      <c r="GA264" s="297"/>
      <c r="GB264" s="297"/>
      <c r="GC264" s="297"/>
      <c r="GD264" s="297"/>
      <c r="GE264" s="297"/>
      <c r="GF264" s="297"/>
      <c r="GG264" s="297"/>
      <c r="GH264" s="297"/>
      <c r="GI264" s="297"/>
      <c r="GJ264" s="297"/>
      <c r="GK264" s="297"/>
      <c r="GL264" s="297"/>
      <c r="GM264" s="297"/>
      <c r="GN264" s="297"/>
      <c r="GO264" s="297"/>
      <c r="GP264" s="297"/>
      <c r="GQ264" s="297"/>
      <c r="GR264" s="297"/>
      <c r="GS264" s="297"/>
      <c r="GT264" s="297"/>
      <c r="GU264" s="297"/>
      <c r="GV264" s="297"/>
      <c r="GW264" s="297"/>
      <c r="GX264" s="297"/>
      <c r="GY264" s="297"/>
      <c r="GZ264" s="297"/>
      <c r="HA264" s="297"/>
      <c r="HB264" s="297"/>
      <c r="HC264" s="297"/>
      <c r="HD264" s="297"/>
      <c r="HE264" s="297"/>
      <c r="HF264" s="297"/>
      <c r="HG264" s="297"/>
      <c r="HH264" s="297"/>
      <c r="HI264" s="297"/>
      <c r="HJ264" s="297"/>
      <c r="HK264" s="297"/>
      <c r="HL264" s="297"/>
      <c r="HM264" s="297"/>
      <c r="HN264" s="297"/>
      <c r="HO264" s="297"/>
      <c r="HP264" s="297"/>
      <c r="HQ264" s="297"/>
      <c r="HR264" s="297"/>
      <c r="HS264" s="297"/>
      <c r="HT264" s="297"/>
      <c r="HU264" s="297"/>
      <c r="HV264" s="297"/>
      <c r="HW264" s="297"/>
      <c r="HX264" s="297"/>
      <c r="HY264" s="297"/>
      <c r="HZ264" s="297"/>
      <c r="IA264" s="297"/>
      <c r="IB264" s="297"/>
      <c r="IC264" s="297"/>
      <c r="ID264" s="297"/>
      <c r="IE264" s="297"/>
      <c r="IF264" s="297"/>
      <c r="IG264" s="297"/>
      <c r="IH264" s="297"/>
      <c r="II264" s="297"/>
      <c r="IJ264" s="297"/>
      <c r="IK264" s="297"/>
      <c r="IL264" s="297"/>
      <c r="IM264" s="297"/>
      <c r="IN264" s="297"/>
      <c r="IO264" s="297"/>
      <c r="IP264" s="297"/>
      <c r="IQ264" s="297"/>
      <c r="IR264" s="297"/>
      <c r="IS264" s="297"/>
      <c r="IT264" s="297"/>
      <c r="IU264" s="297"/>
      <c r="IV264" s="297"/>
      <c r="IW264" s="297"/>
      <c r="IX264" s="297"/>
      <c r="IY264" s="297"/>
      <c r="IZ264" s="297"/>
      <c r="JA264" s="297"/>
      <c r="JB264" s="297"/>
      <c r="JC264" s="297"/>
      <c r="JD264" s="297"/>
      <c r="JE264" s="297"/>
      <c r="JF264" s="297"/>
      <c r="JG264" s="297"/>
      <c r="JH264" s="297"/>
      <c r="JI264" s="297"/>
      <c r="JJ264" s="297"/>
      <c r="JK264" s="297"/>
      <c r="JL264" s="297"/>
      <c r="JM264" s="297"/>
      <c r="JN264" s="297"/>
      <c r="JO264" s="297"/>
      <c r="JP264" s="297"/>
      <c r="JQ264" s="297"/>
      <c r="JR264" s="297"/>
      <c r="JS264" s="297"/>
      <c r="JT264" s="297"/>
      <c r="JU264" s="297"/>
      <c r="JV264" s="297"/>
      <c r="JW264" s="297"/>
      <c r="JX264" s="297"/>
      <c r="JY264" s="297"/>
      <c r="JZ264" s="297"/>
      <c r="KA264" s="297"/>
      <c r="KB264" s="297"/>
      <c r="KC264" s="297"/>
      <c r="KD264" s="297"/>
      <c r="KE264" s="297"/>
      <c r="KF264" s="297"/>
      <c r="KG264" s="297"/>
      <c r="KH264" s="297"/>
      <c r="KI264" s="297"/>
      <c r="KJ264" s="297"/>
      <c r="KK264" s="297"/>
      <c r="KL264" s="297"/>
      <c r="KM264" s="297"/>
      <c r="KN264" s="297"/>
      <c r="KO264" s="297"/>
      <c r="KP264" s="297"/>
      <c r="KQ264" s="297"/>
      <c r="KR264" s="297"/>
      <c r="KS264" s="297"/>
      <c r="KT264" s="297"/>
      <c r="KU264" s="297"/>
      <c r="KV264" s="297"/>
      <c r="KW264" s="297"/>
      <c r="KX264" s="297"/>
      <c r="KY264" s="297"/>
      <c r="KZ264" s="297"/>
      <c r="LA264" s="297"/>
      <c r="LB264" s="297"/>
      <c r="LC264" s="297"/>
      <c r="LD264" s="297"/>
      <c r="LE264" s="297"/>
      <c r="LF264" s="297"/>
      <c r="LG264" s="297"/>
      <c r="LH264" s="297"/>
      <c r="LI264" s="297"/>
      <c r="LJ264" s="297"/>
      <c r="LK264" s="297"/>
      <c r="LL264" s="297"/>
      <c r="LM264" s="297"/>
      <c r="LN264" s="297"/>
      <c r="LO264" s="297"/>
      <c r="LP264" s="297"/>
      <c r="LQ264" s="297"/>
      <c r="LR264" s="297"/>
      <c r="LS264" s="297"/>
      <c r="LT264" s="297"/>
      <c r="LU264" s="297"/>
      <c r="LV264" s="297"/>
      <c r="LW264" s="297"/>
      <c r="LX264" s="297"/>
      <c r="LY264" s="297"/>
      <c r="LZ264" s="297"/>
      <c r="MA264" s="297"/>
      <c r="MB264" s="297"/>
      <c r="MC264" s="297"/>
      <c r="MD264" s="297"/>
      <c r="ME264" s="297"/>
      <c r="MF264" s="297"/>
      <c r="MG264" s="297"/>
      <c r="MH264" s="297"/>
      <c r="MI264" s="297"/>
      <c r="MJ264" s="297"/>
      <c r="MK264" s="297"/>
      <c r="ML264" s="297"/>
      <c r="MM264" s="297"/>
      <c r="MN264" s="297"/>
      <c r="MO264" s="297"/>
      <c r="MP264" s="297"/>
      <c r="MQ264" s="297"/>
      <c r="MR264" s="297"/>
      <c r="MS264" s="297"/>
      <c r="MT264" s="297"/>
      <c r="MU264" s="297"/>
      <c r="MV264" s="297"/>
      <c r="MW264" s="297"/>
      <c r="MX264" s="297"/>
      <c r="MY264" s="297"/>
      <c r="MZ264" s="297"/>
      <c r="NA264" s="297"/>
      <c r="NB264" s="297"/>
      <c r="NC264" s="297"/>
      <c r="ND264" s="297"/>
      <c r="NE264" s="297"/>
      <c r="NF264" s="297"/>
      <c r="NG264" s="297"/>
      <c r="NH264" s="297"/>
      <c r="NI264" s="297"/>
      <c r="NJ264" s="297"/>
      <c r="NK264" s="297"/>
      <c r="NL264" s="297"/>
      <c r="NM264" s="297"/>
      <c r="NN264" s="297"/>
      <c r="NO264" s="297"/>
      <c r="NP264" s="297"/>
      <c r="NQ264" s="297"/>
      <c r="NR264" s="297"/>
      <c r="NS264" s="297"/>
      <c r="NT264" s="297"/>
      <c r="NU264" s="297"/>
      <c r="NV264" s="297"/>
      <c r="NW264" s="297"/>
      <c r="NX264" s="297"/>
      <c r="NY264" s="297"/>
      <c r="NZ264" s="297"/>
      <c r="OA264" s="297"/>
      <c r="OB264" s="297"/>
      <c r="OC264" s="297"/>
      <c r="OD264" s="297"/>
      <c r="OE264" s="297"/>
      <c r="OF264" s="297"/>
      <c r="OG264" s="297"/>
      <c r="OH264" s="297"/>
      <c r="OI264" s="297"/>
      <c r="OJ264" s="297"/>
      <c r="OK264" s="297"/>
      <c r="OL264" s="297"/>
      <c r="OM264" s="297"/>
      <c r="ON264" s="297"/>
      <c r="OO264" s="297"/>
      <c r="OP264" s="297"/>
      <c r="OQ264" s="297"/>
      <c r="OR264" s="297"/>
      <c r="OS264" s="297"/>
      <c r="OT264" s="297"/>
      <c r="OU264" s="297"/>
      <c r="OV264" s="297"/>
      <c r="OW264" s="297"/>
      <c r="OX264" s="297"/>
      <c r="OY264" s="297"/>
      <c r="OZ264" s="297"/>
      <c r="PA264" s="297"/>
      <c r="PB264" s="297"/>
      <c r="PC264" s="297"/>
      <c r="PD264" s="297"/>
      <c r="PE264" s="297"/>
      <c r="PF264" s="297"/>
      <c r="PG264" s="297"/>
      <c r="PH264" s="297"/>
      <c r="PI264" s="297"/>
      <c r="PJ264" s="297"/>
      <c r="PK264" s="297"/>
      <c r="PL264" s="297"/>
      <c r="PM264" s="297"/>
      <c r="PN264" s="297"/>
      <c r="PO264" s="297"/>
      <c r="PP264" s="297"/>
      <c r="PQ264" s="297"/>
      <c r="PR264" s="297"/>
      <c r="PS264" s="297"/>
      <c r="PT264" s="297"/>
      <c r="PU264" s="297"/>
      <c r="PV264" s="297"/>
      <c r="PW264" s="297"/>
      <c r="PX264" s="297"/>
      <c r="PY264" s="297"/>
      <c r="PZ264" s="297"/>
      <c r="QA264" s="297"/>
      <c r="QB264" s="297"/>
      <c r="QC264" s="297"/>
      <c r="QD264" s="297"/>
      <c r="QE264" s="297"/>
      <c r="QF264" s="297"/>
      <c r="QG264" s="297"/>
      <c r="QH264" s="297"/>
      <c r="QI264" s="297"/>
      <c r="QJ264" s="297"/>
      <c r="QK264" s="297"/>
      <c r="QL264" s="297"/>
      <c r="QM264" s="297"/>
      <c r="QN264" s="297"/>
      <c r="QO264" s="297"/>
      <c r="QP264" s="297"/>
      <c r="QQ264" s="297"/>
      <c r="QR264" s="297"/>
      <c r="QS264" s="297"/>
      <c r="QT264" s="297"/>
      <c r="QU264" s="297"/>
      <c r="QV264" s="297"/>
      <c r="QW264" s="297"/>
      <c r="QX264" s="297"/>
      <c r="QY264" s="297"/>
      <c r="QZ264" s="297"/>
      <c r="RA264" s="297"/>
      <c r="RB264" s="297"/>
      <c r="RC264" s="297"/>
      <c r="RD264" s="297"/>
      <c r="RE264" s="297"/>
      <c r="RF264" s="297"/>
      <c r="RG264" s="297"/>
      <c r="RH264" s="297"/>
      <c r="RI264" s="297"/>
      <c r="RJ264" s="297"/>
      <c r="RK264" s="297"/>
      <c r="RL264" s="297"/>
      <c r="RM264" s="297"/>
      <c r="RN264" s="297"/>
      <c r="RO264" s="297"/>
      <c r="RP264" s="297"/>
      <c r="RQ264" s="297"/>
      <c r="RR264" s="297"/>
      <c r="RS264" s="297"/>
      <c r="RT264" s="297"/>
      <c r="RU264" s="297"/>
      <c r="RV264" s="297"/>
      <c r="RW264" s="297"/>
      <c r="RX264" s="297"/>
      <c r="RY264" s="297"/>
      <c r="RZ264" s="297"/>
      <c r="SA264" s="297"/>
      <c r="SB264" s="297"/>
      <c r="SC264" s="297"/>
      <c r="SD264" s="297"/>
      <c r="SE264" s="297"/>
      <c r="SF264" s="297"/>
      <c r="SG264" s="297"/>
      <c r="SH264" s="297"/>
      <c r="SI264" s="297"/>
      <c r="SJ264" s="297"/>
      <c r="SK264" s="297"/>
      <c r="SL264" s="297"/>
      <c r="SM264" s="297"/>
      <c r="SN264" s="297"/>
      <c r="SO264" s="297"/>
      <c r="SP264" s="297"/>
      <c r="SQ264" s="297"/>
      <c r="SR264" s="297"/>
      <c r="SS264" s="297"/>
      <c r="ST264" s="297"/>
      <c r="SU264" s="297"/>
      <c r="SV264" s="297"/>
      <c r="SW264" s="297"/>
      <c r="SX264" s="297"/>
      <c r="SY264" s="297"/>
      <c r="SZ264" s="297"/>
      <c r="TA264" s="297"/>
      <c r="TB264" s="297"/>
      <c r="TC264" s="297"/>
      <c r="TD264" s="297"/>
      <c r="TE264" s="297"/>
      <c r="TF264" s="297"/>
      <c r="TG264" s="297"/>
      <c r="TH264" s="297"/>
      <c r="TI264" s="297"/>
      <c r="TJ264" s="297"/>
      <c r="TK264" s="297"/>
      <c r="TL264" s="297"/>
      <c r="TM264" s="297"/>
      <c r="TN264" s="297"/>
      <c r="TO264" s="297"/>
      <c r="TP264" s="297"/>
      <c r="TQ264" s="297"/>
      <c r="TR264" s="297"/>
      <c r="TS264" s="297"/>
      <c r="TT264" s="297"/>
      <c r="TU264" s="297"/>
      <c r="TV264" s="297"/>
      <c r="TW264" s="297"/>
      <c r="TX264" s="297"/>
      <c r="TY264" s="297"/>
      <c r="TZ264" s="297"/>
      <c r="UA264" s="297"/>
      <c r="UB264" s="297"/>
      <c r="UC264" s="297"/>
      <c r="UD264" s="297"/>
      <c r="UE264" s="297"/>
      <c r="UF264" s="297"/>
      <c r="UG264" s="297"/>
      <c r="UH264" s="297"/>
      <c r="UI264" s="297"/>
      <c r="UJ264" s="297"/>
      <c r="UK264" s="297"/>
      <c r="UL264" s="297"/>
      <c r="UM264" s="297"/>
      <c r="UN264" s="297"/>
      <c r="UO264" s="297"/>
      <c r="UP264" s="297"/>
      <c r="UQ264" s="297"/>
      <c r="UR264" s="297"/>
      <c r="US264" s="297"/>
      <c r="UT264" s="297"/>
      <c r="UU264" s="297"/>
      <c r="UV264" s="297"/>
      <c r="UW264" s="297"/>
      <c r="UX264" s="297"/>
      <c r="UY264" s="297"/>
      <c r="UZ264" s="297"/>
      <c r="VA264" s="297"/>
      <c r="VB264" s="297"/>
      <c r="VC264" s="297"/>
      <c r="VD264" s="297"/>
      <c r="VE264" s="297"/>
      <c r="VF264" s="297"/>
      <c r="VG264" s="297"/>
      <c r="VH264" s="297"/>
      <c r="VI264" s="297"/>
      <c r="VJ264" s="297"/>
      <c r="VK264" s="297"/>
      <c r="VL264" s="297"/>
      <c r="VM264" s="297"/>
      <c r="VN264" s="297"/>
      <c r="VO264" s="297"/>
      <c r="VP264" s="297"/>
      <c r="VQ264" s="297"/>
      <c r="VR264" s="297"/>
      <c r="VS264" s="297"/>
      <c r="VT264" s="297"/>
      <c r="VU264" s="297"/>
      <c r="VV264" s="297"/>
      <c r="VW264" s="297"/>
      <c r="VX264" s="297"/>
      <c r="VY264" s="297"/>
      <c r="VZ264" s="297"/>
      <c r="WA264" s="297"/>
      <c r="WB264" s="297"/>
      <c r="WC264" s="297"/>
      <c r="WD264" s="297"/>
      <c r="WE264" s="297"/>
      <c r="WF264" s="297"/>
      <c r="WG264" s="297"/>
      <c r="WH264" s="297"/>
      <c r="WI264" s="297"/>
      <c r="WJ264" s="297"/>
      <c r="WK264" s="297"/>
      <c r="WL264" s="297"/>
      <c r="WM264" s="297"/>
      <c r="WN264" s="297"/>
      <c r="WO264" s="297"/>
      <c r="WP264" s="297"/>
      <c r="WQ264" s="297"/>
      <c r="WR264" s="297"/>
      <c r="WS264" s="297"/>
      <c r="WT264" s="297"/>
      <c r="WU264" s="297"/>
      <c r="WV264" s="297"/>
      <c r="WW264" s="297"/>
      <c r="WX264" s="297"/>
      <c r="WY264" s="297"/>
      <c r="WZ264" s="297"/>
      <c r="XA264" s="297"/>
      <c r="XB264" s="297"/>
      <c r="XC264" s="297"/>
      <c r="XD264" s="297"/>
      <c r="XE264" s="297"/>
      <c r="XF264" s="297"/>
      <c r="XG264" s="297"/>
      <c r="XH264" s="297"/>
      <c r="XI264" s="297"/>
      <c r="XJ264" s="297"/>
      <c r="XK264" s="297"/>
      <c r="XL264" s="297"/>
      <c r="XM264" s="297"/>
      <c r="XN264" s="297"/>
      <c r="XO264" s="297"/>
      <c r="XP264" s="297"/>
      <c r="XQ264" s="297"/>
      <c r="XR264" s="297"/>
      <c r="XS264" s="297"/>
      <c r="XT264" s="297"/>
      <c r="XU264" s="297"/>
      <c r="XV264" s="297"/>
      <c r="XW264" s="297"/>
      <c r="XX264" s="297"/>
      <c r="XY264" s="297"/>
      <c r="XZ264" s="297"/>
      <c r="YA264" s="297"/>
      <c r="YB264" s="297"/>
      <c r="YC264" s="297"/>
      <c r="YD264" s="297"/>
      <c r="YE264" s="297"/>
      <c r="YF264" s="297"/>
      <c r="YG264" s="297"/>
      <c r="YH264" s="297"/>
      <c r="YI264" s="297"/>
      <c r="YJ264" s="297"/>
      <c r="YK264" s="297"/>
      <c r="YL264" s="297"/>
      <c r="YM264" s="297"/>
      <c r="YN264" s="297"/>
      <c r="YO264" s="297"/>
      <c r="YP264" s="297"/>
      <c r="YQ264" s="297"/>
      <c r="YR264" s="297"/>
      <c r="YS264" s="297"/>
      <c r="YT264" s="297"/>
      <c r="YU264" s="297"/>
      <c r="YV264" s="297"/>
      <c r="YW264" s="297"/>
      <c r="YX264" s="297"/>
      <c r="YY264" s="297"/>
      <c r="YZ264" s="297"/>
      <c r="ZA264" s="297"/>
      <c r="ZB264" s="297"/>
      <c r="ZC264" s="297"/>
      <c r="ZD264" s="297"/>
      <c r="ZE264" s="297"/>
      <c r="ZF264" s="297"/>
      <c r="ZG264" s="297"/>
      <c r="ZH264" s="297"/>
      <c r="ZI264" s="297"/>
      <c r="ZJ264" s="297"/>
      <c r="ZK264" s="297"/>
      <c r="ZL264" s="297"/>
      <c r="ZM264" s="297"/>
      <c r="ZN264" s="297"/>
      <c r="ZO264" s="297"/>
      <c r="ZP264" s="297"/>
      <c r="ZQ264" s="297"/>
      <c r="ZR264" s="297"/>
      <c r="ZS264" s="297"/>
      <c r="ZT264" s="297"/>
      <c r="ZU264" s="297"/>
      <c r="ZV264" s="297"/>
      <c r="ZW264" s="297"/>
      <c r="ZX264" s="297"/>
      <c r="ZY264" s="297"/>
      <c r="ZZ264" s="297"/>
      <c r="AAA264" s="297"/>
      <c r="AAB264" s="297"/>
      <c r="AAC264" s="297"/>
      <c r="AAD264" s="297"/>
      <c r="AAE264" s="297"/>
      <c r="AAF264" s="297"/>
      <c r="AAG264" s="297"/>
      <c r="AAH264" s="297"/>
      <c r="AAI264" s="297"/>
      <c r="AAJ264" s="297"/>
      <c r="AAK264" s="297"/>
      <c r="AAL264" s="297"/>
      <c r="AAM264" s="297"/>
      <c r="AAN264" s="297"/>
      <c r="AAO264" s="297"/>
      <c r="AAP264" s="297"/>
      <c r="AAQ264" s="297"/>
      <c r="AAR264" s="297"/>
      <c r="AAS264" s="297"/>
      <c r="AAT264" s="297"/>
      <c r="AAU264" s="297"/>
      <c r="AAV264" s="297"/>
      <c r="AAW264" s="297"/>
      <c r="AAX264" s="297"/>
      <c r="AAY264" s="297"/>
      <c r="AAZ264" s="297"/>
      <c r="ABA264" s="297"/>
      <c r="ABB264" s="297"/>
      <c r="ABC264" s="297"/>
      <c r="ABD264" s="297"/>
      <c r="ABE264" s="297"/>
      <c r="ABF264" s="297"/>
      <c r="ABG264" s="297"/>
      <c r="ABH264" s="297"/>
      <c r="ABI264" s="297"/>
      <c r="ABJ264" s="297"/>
      <c r="ABK264" s="297"/>
      <c r="ABL264" s="297"/>
      <c r="ABM264" s="297"/>
      <c r="ABN264" s="297"/>
      <c r="ABO264" s="297"/>
      <c r="ABP264" s="297"/>
      <c r="ABQ264" s="297"/>
      <c r="ABR264" s="297"/>
      <c r="ABS264" s="297"/>
      <c r="ABT264" s="297"/>
      <c r="ABU264" s="297"/>
      <c r="ABV264" s="297"/>
      <c r="ABW264" s="297"/>
      <c r="ABX264" s="297"/>
      <c r="ABY264" s="297"/>
      <c r="ABZ264" s="297"/>
      <c r="ACA264" s="297"/>
      <c r="ACB264" s="297"/>
      <c r="ACC264" s="297"/>
      <c r="ACD264" s="297"/>
      <c r="ACE264" s="297"/>
      <c r="ACF264" s="297"/>
      <c r="ACG264" s="297"/>
      <c r="ACH264" s="297"/>
      <c r="ACI264" s="297"/>
      <c r="ACJ264" s="297"/>
      <c r="ACK264" s="297"/>
      <c r="ACL264" s="297"/>
      <c r="ACM264" s="297"/>
      <c r="ACN264" s="297"/>
      <c r="ACO264" s="297"/>
      <c r="ACP264" s="297"/>
      <c r="ACQ264" s="297"/>
      <c r="ACR264" s="297"/>
      <c r="ACS264" s="297"/>
      <c r="ACT264" s="297"/>
      <c r="ACU264" s="297"/>
      <c r="ACV264" s="297"/>
      <c r="ACW264" s="297"/>
      <c r="ACX264" s="297"/>
      <c r="ACY264" s="297"/>
      <c r="ACZ264" s="297"/>
      <c r="ADA264" s="297"/>
      <c r="ADB264" s="297"/>
      <c r="ADC264" s="297"/>
      <c r="ADD264" s="297"/>
      <c r="ADE264" s="297"/>
      <c r="ADF264" s="297"/>
      <c r="ADG264" s="297"/>
      <c r="ADH264" s="297"/>
      <c r="ADI264" s="297"/>
      <c r="ADJ264" s="297"/>
      <c r="ADK264" s="297"/>
      <c r="ADL264" s="297"/>
      <c r="ADM264" s="297"/>
      <c r="ADN264" s="297"/>
      <c r="ADO264" s="297"/>
      <c r="ADP264" s="297"/>
      <c r="ADQ264" s="297"/>
      <c r="ADR264" s="297"/>
      <c r="ADS264" s="297"/>
      <c r="ADT264" s="297"/>
      <c r="ADU264" s="297"/>
      <c r="ADV264" s="297"/>
      <c r="ADW264" s="297"/>
      <c r="ADX264" s="297"/>
      <c r="ADY264" s="297"/>
      <c r="ADZ264" s="297"/>
      <c r="AEA264" s="297"/>
      <c r="AEB264" s="297"/>
      <c r="AEC264" s="297"/>
      <c r="AED264" s="297"/>
      <c r="AEE264" s="297"/>
      <c r="AEF264" s="297"/>
      <c r="AEG264" s="297"/>
      <c r="AEH264" s="297"/>
      <c r="AEI264" s="297"/>
      <c r="AEJ264" s="297"/>
      <c r="AEK264" s="297"/>
      <c r="AEL264" s="297"/>
      <c r="AEM264" s="297"/>
      <c r="AEN264" s="297"/>
      <c r="AEO264" s="297"/>
      <c r="AEP264" s="297"/>
      <c r="AEQ264" s="297"/>
      <c r="AER264" s="297"/>
      <c r="AES264" s="297"/>
      <c r="AET264" s="297"/>
      <c r="AEU264" s="297"/>
      <c r="AEV264" s="297"/>
      <c r="AEW264" s="297"/>
      <c r="AEX264" s="297"/>
      <c r="AEY264" s="297"/>
      <c r="AEZ264" s="297"/>
      <c r="AFA264" s="297"/>
      <c r="AFB264" s="297"/>
      <c r="AFC264" s="297"/>
      <c r="AFD264" s="297"/>
      <c r="AFE264" s="297"/>
      <c r="AFF264" s="297"/>
      <c r="AFG264" s="297"/>
      <c r="AFH264" s="297"/>
      <c r="AFI264" s="297"/>
      <c r="AFJ264" s="297"/>
      <c r="AFK264" s="297"/>
      <c r="AFL264" s="297"/>
      <c r="AFM264" s="297"/>
      <c r="AFN264" s="297"/>
      <c r="AFO264" s="297"/>
      <c r="AFP264" s="297"/>
      <c r="AFQ264" s="297"/>
      <c r="AFR264" s="297"/>
      <c r="AFS264" s="297"/>
      <c r="AFT264" s="297"/>
      <c r="AFU264" s="297"/>
      <c r="AFV264" s="297"/>
      <c r="AFW264" s="297"/>
      <c r="AFX264" s="297"/>
      <c r="AFY264" s="297"/>
      <c r="AFZ264" s="297"/>
      <c r="AGA264" s="297"/>
      <c r="AGB264" s="297"/>
      <c r="AGC264" s="297"/>
      <c r="AGD264" s="297"/>
      <c r="AGE264" s="297"/>
      <c r="AGF264" s="297"/>
      <c r="AGG264" s="297"/>
      <c r="AGH264" s="297"/>
      <c r="AGI264" s="297"/>
      <c r="AGJ264" s="297"/>
      <c r="AGK264" s="297"/>
      <c r="AGL264" s="297"/>
      <c r="AGM264" s="297"/>
      <c r="AGN264" s="297"/>
      <c r="AGO264" s="297"/>
      <c r="AGP264" s="297"/>
      <c r="AGQ264" s="297"/>
      <c r="AGR264" s="297"/>
      <c r="AGS264" s="297"/>
      <c r="AGT264" s="297"/>
      <c r="AGU264" s="297"/>
      <c r="AGV264" s="297"/>
      <c r="AGW264" s="297"/>
      <c r="AGX264" s="297"/>
      <c r="AGY264" s="297"/>
      <c r="AGZ264" s="297"/>
      <c r="AHA264" s="297"/>
      <c r="AHB264" s="297"/>
      <c r="AHC264" s="297"/>
      <c r="AHD264" s="297"/>
      <c r="AHE264" s="297"/>
      <c r="AHF264" s="297"/>
      <c r="AHG264" s="297"/>
      <c r="AHH264" s="297"/>
      <c r="AHI264" s="297"/>
      <c r="AHJ264" s="297"/>
      <c r="AHK264" s="297"/>
      <c r="AHL264" s="297"/>
      <c r="AHM264" s="297"/>
      <c r="AHN264" s="297"/>
      <c r="AHO264" s="297"/>
      <c r="AHP264" s="297"/>
      <c r="AHQ264" s="297"/>
      <c r="AHR264" s="297"/>
      <c r="AHS264" s="297"/>
      <c r="AHT264" s="297"/>
      <c r="AHU264" s="297"/>
      <c r="AHV264" s="297"/>
      <c r="AHW264" s="297"/>
      <c r="AHX264" s="297"/>
      <c r="AHY264" s="297"/>
      <c r="AHZ264" s="297"/>
      <c r="AIA264" s="297"/>
      <c r="AIB264" s="297"/>
      <c r="AIC264" s="297"/>
      <c r="AID264" s="297"/>
      <c r="AIE264" s="297"/>
      <c r="AIF264" s="297"/>
      <c r="AIG264" s="297"/>
      <c r="AIH264" s="297"/>
      <c r="AII264" s="297"/>
      <c r="AIJ264" s="297"/>
      <c r="AIK264" s="297"/>
      <c r="AIL264" s="297"/>
      <c r="AIM264" s="297"/>
      <c r="AIN264" s="297"/>
      <c r="AIO264" s="297"/>
      <c r="AIP264" s="297"/>
      <c r="AIQ264" s="297"/>
      <c r="AIR264" s="297"/>
      <c r="AIS264" s="297"/>
      <c r="AIT264" s="297"/>
      <c r="AIU264" s="297"/>
      <c r="AIV264" s="297"/>
      <c r="AIW264" s="297"/>
      <c r="AIX264" s="297"/>
      <c r="AIY264" s="297"/>
      <c r="AIZ264" s="297"/>
      <c r="AJA264" s="297"/>
      <c r="AJB264" s="297"/>
      <c r="AJC264" s="297"/>
      <c r="AJD264" s="297"/>
      <c r="AJE264" s="297"/>
      <c r="AJF264" s="297"/>
      <c r="AJG264" s="297"/>
      <c r="AJH264" s="297"/>
      <c r="AJI264" s="297"/>
      <c r="AJJ264" s="297"/>
      <c r="AJK264" s="297"/>
      <c r="AJL264" s="297"/>
      <c r="AJM264" s="297"/>
      <c r="AJN264" s="297"/>
      <c r="AJO264" s="297"/>
      <c r="AJP264" s="297"/>
      <c r="AJQ264" s="297"/>
      <c r="AJR264" s="297"/>
      <c r="AJS264" s="297"/>
      <c r="AJT264" s="297"/>
      <c r="AJU264" s="297"/>
      <c r="AJV264" s="297"/>
      <c r="AJW264" s="297"/>
      <c r="AJX264" s="297"/>
      <c r="AJY264" s="297"/>
      <c r="AJZ264" s="297"/>
      <c r="AKA264" s="297"/>
      <c r="AKB264" s="297"/>
      <c r="AKC264" s="297"/>
      <c r="AKD264" s="297"/>
      <c r="AKE264" s="297"/>
      <c r="AKF264" s="297"/>
      <c r="AKG264" s="297"/>
      <c r="AKH264" s="297"/>
      <c r="AKI264" s="297"/>
      <c r="AKJ264" s="297"/>
      <c r="AKK264" s="297"/>
      <c r="AKL264" s="297"/>
      <c r="AKM264" s="297"/>
      <c r="AKN264" s="297"/>
      <c r="AKO264" s="297"/>
      <c r="AKP264" s="297"/>
      <c r="AKQ264" s="297"/>
      <c r="AKR264" s="297"/>
      <c r="AKS264" s="297"/>
      <c r="AKT264" s="297"/>
      <c r="AKU264" s="297"/>
      <c r="AKV264" s="297"/>
      <c r="AKW264" s="297"/>
      <c r="AKX264" s="297"/>
      <c r="AKY264" s="297"/>
      <c r="AKZ264" s="297"/>
      <c r="ALA264" s="297"/>
      <c r="ALB264" s="297"/>
      <c r="ALC264" s="297"/>
      <c r="ALD264" s="297"/>
      <c r="ALE264" s="297"/>
      <c r="ALF264" s="297"/>
      <c r="ALG264" s="297"/>
      <c r="ALH264" s="297"/>
      <c r="ALI264" s="297"/>
      <c r="ALJ264" s="297"/>
      <c r="ALK264" s="297"/>
      <c r="ALL264" s="297"/>
      <c r="ALM264" s="297"/>
      <c r="ALN264" s="297"/>
      <c r="ALO264" s="297"/>
      <c r="ALP264" s="297"/>
      <c r="ALQ264" s="297"/>
      <c r="ALR264" s="297"/>
      <c r="ALS264" s="297"/>
      <c r="ALT264" s="297"/>
      <c r="ALU264" s="297"/>
      <c r="ALV264" s="297"/>
      <c r="ALW264" s="297"/>
      <c r="ALX264" s="297"/>
      <c r="ALY264" s="297"/>
      <c r="ALZ264" s="297"/>
      <c r="AMA264" s="297"/>
      <c r="AMB264" s="297"/>
      <c r="AMC264" s="297"/>
      <c r="AMD264" s="297"/>
      <c r="AME264" s="297"/>
      <c r="AMF264" s="297"/>
      <c r="AMG264" s="297"/>
      <c r="AMH264" s="297"/>
      <c r="AMI264" s="297"/>
      <c r="AMJ264" s="297"/>
      <c r="AMK264" s="297"/>
      <c r="AML264" s="297"/>
      <c r="AMM264" s="297"/>
      <c r="AMN264" s="297"/>
      <c r="AMO264" s="297"/>
      <c r="AMP264" s="297"/>
      <c r="AMQ264" s="297"/>
      <c r="AMR264" s="297"/>
      <c r="AMS264" s="297"/>
      <c r="AMT264" s="297"/>
      <c r="AMU264" s="297"/>
      <c r="AMV264" s="297"/>
      <c r="AMW264" s="297"/>
      <c r="AMX264" s="297"/>
      <c r="AMY264" s="297"/>
      <c r="AMZ264" s="297"/>
      <c r="ANA264" s="297"/>
      <c r="ANB264" s="297"/>
      <c r="ANC264" s="297"/>
      <c r="AND264" s="297"/>
      <c r="ANE264" s="297"/>
      <c r="ANF264" s="297"/>
      <c r="ANG264" s="297"/>
      <c r="ANH264" s="297"/>
      <c r="ANI264" s="297"/>
      <c r="ANJ264" s="297"/>
      <c r="ANK264" s="297"/>
      <c r="ANL264" s="297"/>
      <c r="ANM264" s="297"/>
      <c r="ANN264" s="297"/>
      <c r="ANO264" s="297"/>
      <c r="ANP264" s="297"/>
      <c r="ANQ264" s="297"/>
      <c r="ANR264" s="297"/>
      <c r="ANS264" s="297"/>
      <c r="ANT264" s="297"/>
      <c r="ANU264" s="297"/>
      <c r="ANV264" s="297"/>
      <c r="ANW264" s="297"/>
      <c r="ANX264" s="297"/>
      <c r="ANY264" s="297"/>
      <c r="ANZ264" s="297"/>
      <c r="AOA264" s="297"/>
      <c r="AOB264" s="297"/>
      <c r="AOC264" s="297"/>
      <c r="AOD264" s="297"/>
      <c r="AOE264" s="297"/>
      <c r="AOF264" s="297"/>
      <c r="AOG264" s="297"/>
      <c r="AOH264" s="297"/>
      <c r="AOI264" s="297"/>
      <c r="AOJ264" s="297"/>
      <c r="AOK264" s="297"/>
      <c r="AOL264" s="297"/>
      <c r="AOM264" s="297"/>
      <c r="AON264" s="297"/>
      <c r="AOO264" s="297"/>
      <c r="AOP264" s="297"/>
      <c r="AOQ264" s="297"/>
      <c r="AOR264" s="297"/>
      <c r="AOS264" s="297"/>
      <c r="AOT264" s="297"/>
      <c r="AOU264" s="297"/>
      <c r="AOV264" s="297"/>
      <c r="AOW264" s="297"/>
      <c r="AOX264" s="297"/>
      <c r="AOY264" s="297"/>
      <c r="AOZ264" s="297"/>
      <c r="APA264" s="297"/>
      <c r="APB264" s="297"/>
      <c r="APC264" s="297"/>
      <c r="APD264" s="297"/>
      <c r="APE264" s="297"/>
      <c r="APF264" s="297"/>
      <c r="APG264" s="297"/>
      <c r="APH264" s="297"/>
      <c r="API264" s="297"/>
      <c r="APJ264" s="297"/>
      <c r="APK264" s="297"/>
      <c r="APL264" s="297"/>
      <c r="APM264" s="297"/>
      <c r="APN264" s="297"/>
      <c r="APO264" s="297"/>
      <c r="APP264" s="297"/>
      <c r="APQ264" s="297"/>
      <c r="APR264" s="297"/>
      <c r="APS264" s="297"/>
      <c r="APT264" s="297"/>
      <c r="APU264" s="297"/>
      <c r="APV264" s="297"/>
      <c r="APW264" s="297"/>
      <c r="APX264" s="297"/>
      <c r="APY264" s="297"/>
      <c r="APZ264" s="297"/>
      <c r="AQA264" s="297"/>
      <c r="AQB264" s="297"/>
      <c r="AQC264" s="297"/>
      <c r="AQD264" s="297"/>
      <c r="AQE264" s="297"/>
      <c r="AQF264" s="297"/>
      <c r="AQG264" s="297"/>
      <c r="AQH264" s="297"/>
      <c r="AQI264" s="297"/>
      <c r="AQJ264" s="297"/>
      <c r="AQK264" s="297"/>
      <c r="AQL264" s="297"/>
      <c r="AQM264" s="297"/>
      <c r="AQN264" s="297"/>
      <c r="AQO264" s="297"/>
      <c r="AQP264" s="297"/>
      <c r="AQQ264" s="297"/>
      <c r="AQR264" s="297"/>
      <c r="AQS264" s="297"/>
      <c r="AQT264" s="297"/>
      <c r="AQU264" s="297"/>
      <c r="AQV264" s="297"/>
      <c r="AQW264" s="297"/>
      <c r="AQX264" s="297"/>
      <c r="AQY264" s="297"/>
      <c r="AQZ264" s="297"/>
      <c r="ARA264" s="297"/>
      <c r="ARB264" s="297"/>
      <c r="ARC264" s="297"/>
      <c r="ARD264" s="297"/>
      <c r="ARE264" s="297"/>
      <c r="ARF264" s="297"/>
      <c r="ARG264" s="297"/>
      <c r="ARH264" s="297"/>
      <c r="ARI264" s="297"/>
      <c r="ARJ264" s="297"/>
      <c r="ARK264" s="297"/>
      <c r="ARL264" s="297"/>
      <c r="ARM264" s="297"/>
      <c r="ARN264" s="297"/>
      <c r="ARO264" s="297"/>
      <c r="ARP264" s="297"/>
      <c r="ARQ264" s="297"/>
      <c r="ARR264" s="297"/>
      <c r="ARS264" s="297"/>
      <c r="ART264" s="297"/>
      <c r="ARU264" s="297"/>
      <c r="ARV264" s="297"/>
      <c r="ARW264" s="297"/>
      <c r="ARX264" s="297"/>
      <c r="ARY264" s="297"/>
      <c r="ARZ264" s="297"/>
      <c r="ASA264" s="297"/>
      <c r="ASB264" s="297"/>
      <c r="ASC264" s="297"/>
      <c r="ASD264" s="297"/>
      <c r="ASE264" s="297"/>
      <c r="ASF264" s="297"/>
      <c r="ASG264" s="297"/>
      <c r="ASH264" s="297"/>
      <c r="ASI264" s="297"/>
      <c r="ASJ264" s="297"/>
      <c r="ASK264" s="297"/>
      <c r="ASL264" s="297"/>
      <c r="ASM264" s="297"/>
      <c r="ASN264" s="297"/>
      <c r="ASO264" s="297"/>
      <c r="ASP264" s="297"/>
      <c r="ASQ264" s="297"/>
      <c r="ASR264" s="297"/>
      <c r="ASS264" s="297"/>
      <c r="AST264" s="297"/>
      <c r="ASU264" s="297"/>
      <c r="ASV264" s="297"/>
      <c r="ASW264" s="297"/>
      <c r="ASX264" s="297"/>
      <c r="ASY264" s="297"/>
      <c r="ASZ264" s="297"/>
      <c r="ATA264" s="297"/>
      <c r="ATB264" s="297"/>
      <c r="ATC264" s="297"/>
      <c r="ATD264" s="297"/>
      <c r="ATE264" s="297"/>
      <c r="ATF264" s="297"/>
      <c r="ATG264" s="297"/>
      <c r="ATH264" s="297"/>
      <c r="ATI264" s="297"/>
      <c r="ATJ264" s="297"/>
      <c r="ATK264" s="297"/>
      <c r="ATL264" s="297"/>
      <c r="ATM264" s="297"/>
      <c r="ATN264" s="297"/>
      <c r="ATO264" s="297"/>
      <c r="ATP264" s="297"/>
      <c r="ATQ264" s="297"/>
      <c r="ATR264" s="297"/>
      <c r="ATS264" s="297"/>
      <c r="ATT264" s="297"/>
      <c r="ATU264" s="297"/>
      <c r="ATV264" s="297"/>
      <c r="ATW264" s="297"/>
      <c r="ATX264" s="297"/>
      <c r="ATY264" s="297"/>
      <c r="ATZ264" s="297"/>
      <c r="AUA264" s="297"/>
      <c r="AUB264" s="297"/>
      <c r="AUC264" s="297"/>
      <c r="AUD264" s="297"/>
      <c r="AUE264" s="297"/>
      <c r="AUF264" s="297"/>
      <c r="AUG264" s="297"/>
      <c r="AUH264" s="297"/>
      <c r="AUI264" s="297"/>
      <c r="AUJ264" s="297"/>
      <c r="AUK264" s="297"/>
      <c r="AUL264" s="297"/>
      <c r="AUM264" s="297"/>
      <c r="AUN264" s="297"/>
      <c r="AUO264" s="297"/>
      <c r="AUP264" s="297"/>
      <c r="AUQ264" s="297"/>
      <c r="AUR264" s="297"/>
      <c r="AUS264" s="297"/>
      <c r="AUT264" s="297"/>
      <c r="AUU264" s="297"/>
      <c r="AUV264" s="297"/>
      <c r="AUW264" s="297"/>
      <c r="AUX264" s="297"/>
      <c r="AUY264" s="297"/>
      <c r="AUZ264" s="297"/>
      <c r="AVA264" s="297"/>
      <c r="AVB264" s="297"/>
      <c r="AVC264" s="297"/>
      <c r="AVD264" s="297"/>
      <c r="AVE264" s="297"/>
      <c r="AVF264" s="297"/>
      <c r="AVG264" s="297"/>
      <c r="AVH264" s="297"/>
      <c r="AVI264" s="297"/>
      <c r="AVJ264" s="297"/>
      <c r="AVK264" s="297"/>
      <c r="AVL264" s="297"/>
      <c r="AVM264" s="297"/>
      <c r="AVN264" s="297"/>
      <c r="AVO264" s="297"/>
      <c r="AVP264" s="297"/>
      <c r="AVQ264" s="297"/>
      <c r="AVR264" s="297"/>
      <c r="AVS264" s="297"/>
      <c r="AVT264" s="297"/>
      <c r="AVU264" s="297"/>
      <c r="AVV264" s="297"/>
      <c r="AVW264" s="297"/>
      <c r="AVX264" s="297"/>
      <c r="AVY264" s="297"/>
      <c r="AVZ264" s="297"/>
      <c r="AWA264" s="297"/>
      <c r="AWB264" s="297"/>
      <c r="AWC264" s="297"/>
      <c r="AWD264" s="297"/>
      <c r="AWE264" s="297"/>
      <c r="AWF264" s="297"/>
      <c r="AWG264" s="297"/>
      <c r="AWH264" s="297"/>
      <c r="AWI264" s="297"/>
      <c r="AWJ264" s="297"/>
      <c r="AWK264" s="297"/>
      <c r="AWL264" s="297"/>
      <c r="AWM264" s="297"/>
      <c r="AWN264" s="297"/>
      <c r="AWO264" s="297"/>
      <c r="AWP264" s="297"/>
      <c r="AWQ264" s="297"/>
      <c r="AWR264" s="297"/>
      <c r="AWS264" s="297"/>
      <c r="AWT264" s="297"/>
      <c r="AWU264" s="297"/>
      <c r="AWV264" s="297"/>
      <c r="AWW264" s="297"/>
      <c r="AWX264" s="297"/>
      <c r="AWY264" s="297"/>
      <c r="AWZ264" s="297"/>
      <c r="AXA264" s="297"/>
      <c r="AXB264" s="297"/>
      <c r="AXC264" s="297"/>
      <c r="AXD264" s="297"/>
      <c r="AXE264" s="297"/>
      <c r="AXF264" s="297"/>
      <c r="AXG264" s="297"/>
      <c r="AXH264" s="297"/>
      <c r="AXI264" s="297"/>
      <c r="AXJ264" s="297"/>
      <c r="AXK264" s="297"/>
      <c r="AXL264" s="297"/>
      <c r="AXM264" s="297"/>
      <c r="AXN264" s="297"/>
      <c r="AXO264" s="297"/>
      <c r="AXP264" s="297"/>
      <c r="AXQ264" s="297"/>
      <c r="AXR264" s="297"/>
      <c r="AXS264" s="297"/>
      <c r="AXT264" s="297"/>
      <c r="AXU264" s="297"/>
      <c r="AXV264" s="297"/>
      <c r="AXW264" s="297"/>
      <c r="AXX264" s="297"/>
      <c r="AXY264" s="297"/>
      <c r="AXZ264" s="297"/>
      <c r="AYA264" s="297"/>
      <c r="AYB264" s="297"/>
      <c r="AYC264" s="297"/>
      <c r="AYD264" s="297"/>
      <c r="AYE264" s="297"/>
      <c r="AYF264" s="297"/>
      <c r="AYG264" s="297"/>
      <c r="AYH264" s="297"/>
      <c r="AYI264" s="297"/>
      <c r="AYJ264" s="297"/>
      <c r="AYK264" s="297"/>
      <c r="AYL264" s="297"/>
      <c r="AYM264" s="297"/>
      <c r="AYN264" s="297"/>
      <c r="AYO264" s="297"/>
      <c r="AYP264" s="297"/>
      <c r="AYQ264" s="297"/>
      <c r="AYR264" s="297"/>
      <c r="AYS264" s="297"/>
      <c r="AYT264" s="297"/>
      <c r="AYU264" s="297"/>
      <c r="AYV264" s="297"/>
      <c r="AYW264" s="297"/>
      <c r="AYX264" s="297"/>
      <c r="AYY264" s="297"/>
      <c r="AYZ264" s="297"/>
      <c r="AZA264" s="297"/>
      <c r="AZB264" s="297"/>
      <c r="AZC264" s="297"/>
      <c r="AZD264" s="297"/>
      <c r="AZE264" s="297"/>
      <c r="AZF264" s="297"/>
      <c r="AZG264" s="297"/>
      <c r="AZH264" s="297"/>
      <c r="AZI264" s="297"/>
      <c r="AZJ264" s="297"/>
      <c r="AZK264" s="297"/>
      <c r="AZL264" s="297"/>
      <c r="AZM264" s="297"/>
      <c r="AZN264" s="297"/>
      <c r="AZO264" s="297"/>
      <c r="AZP264" s="297"/>
      <c r="AZQ264" s="297"/>
      <c r="AZR264" s="297"/>
      <c r="AZS264" s="297"/>
      <c r="AZT264" s="297"/>
      <c r="AZU264" s="297"/>
      <c r="AZV264" s="297"/>
      <c r="AZW264" s="297"/>
      <c r="AZX264" s="297"/>
      <c r="AZY264" s="297"/>
      <c r="AZZ264" s="297"/>
      <c r="BAA264" s="297"/>
      <c r="BAB264" s="297"/>
      <c r="BAC264" s="297"/>
      <c r="BAD264" s="297"/>
      <c r="BAE264" s="297"/>
      <c r="BAF264" s="297"/>
      <c r="BAG264" s="297"/>
      <c r="BAH264" s="297"/>
      <c r="BAI264" s="297"/>
      <c r="BAJ264" s="297"/>
      <c r="BAK264" s="297"/>
      <c r="BAL264" s="297"/>
      <c r="BAM264" s="297"/>
      <c r="BAN264" s="297"/>
      <c r="BAO264" s="297"/>
      <c r="BAP264" s="297"/>
      <c r="BAQ264" s="297"/>
      <c r="BAR264" s="297"/>
      <c r="BAS264" s="297"/>
      <c r="BAT264" s="297"/>
      <c r="BAU264" s="297"/>
      <c r="BAV264" s="297"/>
      <c r="BAW264" s="297"/>
      <c r="BAX264" s="297"/>
      <c r="BAY264" s="297"/>
      <c r="BAZ264" s="297"/>
      <c r="BBA264" s="297"/>
      <c r="BBB264" s="297"/>
      <c r="BBC264" s="297"/>
      <c r="BBD264" s="297"/>
      <c r="BBE264" s="297"/>
      <c r="BBF264" s="297"/>
      <c r="BBG264" s="297"/>
      <c r="BBH264" s="297"/>
      <c r="BBI264" s="297"/>
      <c r="BBJ264" s="297"/>
      <c r="BBK264" s="297"/>
      <c r="BBL264" s="297"/>
      <c r="BBM264" s="297"/>
      <c r="BBN264" s="297"/>
      <c r="BBO264" s="297"/>
      <c r="BBP264" s="297"/>
      <c r="BBQ264" s="297"/>
      <c r="BBR264" s="297"/>
      <c r="BBS264" s="297"/>
      <c r="BBT264" s="297"/>
      <c r="BBU264" s="297"/>
      <c r="BBV264" s="297"/>
      <c r="BBW264" s="297"/>
      <c r="BBX264" s="297"/>
      <c r="BBY264" s="297"/>
      <c r="BBZ264" s="297"/>
      <c r="BCA264" s="297"/>
      <c r="BCB264" s="297"/>
      <c r="BCC264" s="297"/>
      <c r="BCD264" s="297"/>
      <c r="BCE264" s="297"/>
      <c r="BCF264" s="297"/>
      <c r="BCG264" s="297"/>
      <c r="BCH264" s="297"/>
      <c r="BCI264" s="297"/>
      <c r="BCJ264" s="297"/>
      <c r="BCK264" s="297"/>
      <c r="BCL264" s="297"/>
      <c r="BCM264" s="297"/>
      <c r="BCN264" s="297"/>
      <c r="BCO264" s="297"/>
      <c r="BCP264" s="297"/>
      <c r="BCQ264" s="297"/>
      <c r="BCR264" s="297"/>
      <c r="BCS264" s="297"/>
      <c r="BCT264" s="297"/>
      <c r="BCU264" s="297"/>
      <c r="BCV264" s="297"/>
      <c r="BCW264" s="297"/>
      <c r="BCX264" s="297"/>
      <c r="BCY264" s="297"/>
      <c r="BCZ264" s="297"/>
      <c r="BDA264" s="297"/>
      <c r="BDB264" s="297"/>
      <c r="BDC264" s="297"/>
      <c r="BDD264" s="297"/>
      <c r="BDE264" s="297"/>
      <c r="BDF264" s="297"/>
      <c r="BDG264" s="297"/>
      <c r="BDH264" s="297"/>
      <c r="BDI264" s="297"/>
      <c r="BDJ264" s="297"/>
      <c r="BDK264" s="297"/>
      <c r="BDL264" s="297"/>
      <c r="BDM264" s="297"/>
      <c r="BDN264" s="297"/>
      <c r="BDO264" s="297"/>
      <c r="BDP264" s="297"/>
      <c r="BDQ264" s="297"/>
      <c r="BDR264" s="297"/>
      <c r="BDS264" s="297"/>
      <c r="BDT264" s="297"/>
      <c r="BDU264" s="297"/>
      <c r="BDV264" s="297"/>
      <c r="BDW264" s="297"/>
      <c r="BDX264" s="297"/>
      <c r="BDY264" s="297"/>
      <c r="BDZ264" s="297"/>
      <c r="BEA264" s="297"/>
      <c r="BEB264" s="297"/>
      <c r="BEC264" s="297"/>
      <c r="BED264" s="297"/>
      <c r="BEE264" s="297"/>
      <c r="BEF264" s="297"/>
      <c r="BEG264" s="297"/>
      <c r="BEH264" s="297"/>
      <c r="BEI264" s="297"/>
      <c r="BEJ264" s="297"/>
      <c r="BEK264" s="297"/>
      <c r="BEL264" s="297"/>
      <c r="BEM264" s="297"/>
      <c r="BEN264" s="297"/>
      <c r="BEO264" s="297"/>
      <c r="BEP264" s="297"/>
      <c r="BEQ264" s="297"/>
      <c r="BER264" s="297"/>
      <c r="BES264" s="297"/>
      <c r="BET264" s="297"/>
      <c r="BEU264" s="297"/>
      <c r="BEV264" s="297"/>
      <c r="BEW264" s="297"/>
      <c r="BEX264" s="297"/>
      <c r="BEY264" s="297"/>
      <c r="BEZ264" s="297"/>
      <c r="BFA264" s="297"/>
      <c r="BFB264" s="297"/>
      <c r="BFC264" s="297"/>
      <c r="BFD264" s="297"/>
      <c r="BFE264" s="297"/>
      <c r="BFF264" s="297"/>
      <c r="BFG264" s="297"/>
      <c r="BFH264" s="297"/>
      <c r="BFI264" s="297"/>
      <c r="BFJ264" s="297"/>
      <c r="BFK264" s="297"/>
      <c r="BFL264" s="297"/>
      <c r="BFM264" s="297"/>
      <c r="BFN264" s="297"/>
      <c r="BFO264" s="297"/>
      <c r="BFP264" s="297"/>
      <c r="BFQ264" s="297"/>
      <c r="BFR264" s="297"/>
      <c r="BFS264" s="297"/>
      <c r="BFT264" s="297"/>
      <c r="BFU264" s="297"/>
      <c r="BFV264" s="297"/>
      <c r="BFW264" s="297"/>
      <c r="BFX264" s="297"/>
      <c r="BFY264" s="297"/>
      <c r="BFZ264" s="297"/>
      <c r="BGA264" s="297"/>
      <c r="BGB264" s="297"/>
      <c r="BGC264" s="297"/>
      <c r="BGD264" s="297"/>
      <c r="BGE264" s="297"/>
      <c r="BGF264" s="297"/>
      <c r="BGG264" s="297"/>
      <c r="BGH264" s="297"/>
      <c r="BGI264" s="297"/>
      <c r="BGJ264" s="297"/>
      <c r="BGK264" s="297"/>
      <c r="BGL264" s="297"/>
      <c r="BGM264" s="297"/>
      <c r="BGN264" s="297"/>
      <c r="BGO264" s="297"/>
      <c r="BGP264" s="297"/>
      <c r="BGQ264" s="297"/>
      <c r="BGR264" s="297"/>
      <c r="BGS264" s="297"/>
      <c r="BGT264" s="297"/>
      <c r="BGU264" s="297"/>
      <c r="BGV264" s="297"/>
      <c r="BGW264" s="297"/>
      <c r="BGX264" s="297"/>
      <c r="BGY264" s="297"/>
      <c r="BGZ264" s="297"/>
      <c r="BHA264" s="297"/>
      <c r="BHB264" s="297"/>
      <c r="BHC264" s="297"/>
      <c r="BHD264" s="297"/>
      <c r="BHE264" s="297"/>
      <c r="BHF264" s="297"/>
      <c r="BHG264" s="297"/>
      <c r="BHH264" s="297"/>
      <c r="BHI264" s="297"/>
      <c r="BHJ264" s="297"/>
      <c r="BHK264" s="297"/>
      <c r="BHL264" s="297"/>
      <c r="BHM264" s="297"/>
      <c r="BHN264" s="297"/>
      <c r="BHO264" s="297"/>
      <c r="BHP264" s="297"/>
      <c r="BHQ264" s="297"/>
      <c r="BHR264" s="297"/>
      <c r="BHS264" s="297"/>
      <c r="BHT264" s="297"/>
      <c r="BHU264" s="297"/>
      <c r="BHV264" s="297"/>
      <c r="BHW264" s="297"/>
      <c r="BHX264" s="297"/>
      <c r="BHY264" s="297"/>
      <c r="BHZ264" s="297"/>
      <c r="BIA264" s="297"/>
      <c r="BIB264" s="297"/>
      <c r="BIC264" s="297"/>
      <c r="BID264" s="297"/>
      <c r="BIE264" s="297"/>
      <c r="BIF264" s="297"/>
      <c r="BIG264" s="297"/>
      <c r="BIH264" s="297"/>
      <c r="BII264" s="297"/>
      <c r="BIJ264" s="297"/>
      <c r="BIK264" s="297"/>
      <c r="BIL264" s="297"/>
      <c r="BIM264" s="297"/>
      <c r="BIN264" s="297"/>
      <c r="BIO264" s="297"/>
      <c r="BIP264" s="297"/>
      <c r="BIQ264" s="297"/>
      <c r="BIR264" s="297"/>
      <c r="BIS264" s="297"/>
      <c r="BIT264" s="297"/>
      <c r="BIU264" s="297"/>
      <c r="BIV264" s="297"/>
      <c r="BIW264" s="297"/>
      <c r="BIX264" s="297"/>
      <c r="BIY264" s="297"/>
      <c r="BIZ264" s="297"/>
      <c r="BJA264" s="297"/>
      <c r="BJB264" s="297"/>
      <c r="BJC264" s="297"/>
      <c r="BJD264" s="297"/>
      <c r="BJE264" s="297"/>
      <c r="BJF264" s="297"/>
      <c r="BJG264" s="297"/>
      <c r="BJH264" s="297"/>
      <c r="BJI264" s="297"/>
      <c r="BJJ264" s="297"/>
      <c r="BJK264" s="297"/>
      <c r="BJL264" s="297"/>
      <c r="BJM264" s="297"/>
      <c r="BJN264" s="297"/>
      <c r="BJO264" s="297"/>
      <c r="BJP264" s="297"/>
      <c r="BJQ264" s="297"/>
      <c r="BJR264" s="297"/>
      <c r="BJS264" s="297"/>
      <c r="BJT264" s="297"/>
      <c r="BJU264" s="297"/>
      <c r="BJV264" s="297"/>
      <c r="BJW264" s="297"/>
      <c r="BJX264" s="297"/>
      <c r="BJY264" s="297"/>
      <c r="BJZ264" s="297"/>
      <c r="BKA264" s="297"/>
      <c r="BKB264" s="297"/>
      <c r="BKC264" s="297"/>
      <c r="BKD264" s="297"/>
      <c r="BKE264" s="297"/>
      <c r="BKF264" s="297"/>
      <c r="BKG264" s="297"/>
      <c r="BKH264" s="297"/>
      <c r="BKI264" s="297"/>
      <c r="BKJ264" s="297"/>
      <c r="BKK264" s="297"/>
      <c r="BKL264" s="297"/>
      <c r="BKM264" s="297"/>
      <c r="BKN264" s="297"/>
      <c r="BKO264" s="297"/>
      <c r="BKP264" s="297"/>
      <c r="BKQ264" s="297"/>
      <c r="BKR264" s="297"/>
      <c r="BKS264" s="297"/>
      <c r="BKT264" s="297"/>
      <c r="BKU264" s="297"/>
      <c r="BKV264" s="297"/>
      <c r="BKW264" s="297"/>
      <c r="BKX264" s="297"/>
      <c r="BKY264" s="297"/>
      <c r="BKZ264" s="297"/>
      <c r="BLA264" s="297"/>
      <c r="BLB264" s="297"/>
      <c r="BLC264" s="297"/>
      <c r="BLD264" s="297"/>
      <c r="BLE264" s="297"/>
      <c r="BLF264" s="297"/>
      <c r="BLG264" s="297"/>
      <c r="BLH264" s="297"/>
      <c r="BLI264" s="297"/>
      <c r="BLJ264" s="297"/>
      <c r="BLK264" s="297"/>
      <c r="BLL264" s="297"/>
      <c r="BLM264" s="297"/>
      <c r="BLN264" s="297"/>
      <c r="BLO264" s="297"/>
      <c r="BLP264" s="297"/>
      <c r="BLQ264" s="297"/>
      <c r="BLR264" s="297"/>
      <c r="BLS264" s="297"/>
      <c r="BLT264" s="297"/>
      <c r="BLU264" s="297"/>
      <c r="BLV264" s="297"/>
      <c r="BLW264" s="297"/>
      <c r="BLX264" s="297"/>
      <c r="BLY264" s="297"/>
      <c r="BLZ264" s="297"/>
      <c r="BMA264" s="297"/>
      <c r="BMB264" s="297"/>
      <c r="BMC264" s="297"/>
      <c r="BMD264" s="297"/>
      <c r="BME264" s="297"/>
      <c r="BMF264" s="297"/>
      <c r="BMG264" s="297"/>
      <c r="BMH264" s="297"/>
      <c r="BMI264" s="297"/>
      <c r="BMJ264" s="297"/>
      <c r="BMK264" s="297"/>
      <c r="BML264" s="297"/>
      <c r="BMM264" s="297"/>
      <c r="BMN264" s="297"/>
      <c r="BMO264" s="297"/>
      <c r="BMP264" s="297"/>
      <c r="BMQ264" s="297"/>
      <c r="BMR264" s="297"/>
      <c r="BMS264" s="297"/>
      <c r="BMT264" s="297"/>
      <c r="BMU264" s="297"/>
      <c r="BMV264" s="297"/>
      <c r="BMW264" s="297"/>
      <c r="BMX264" s="297"/>
      <c r="BMY264" s="297"/>
      <c r="BMZ264" s="297"/>
      <c r="BNA264" s="297"/>
      <c r="BNB264" s="297"/>
      <c r="BNC264" s="297"/>
      <c r="BND264" s="297"/>
      <c r="BNE264" s="297"/>
      <c r="BNF264" s="297"/>
      <c r="BNG264" s="297"/>
      <c r="BNH264" s="297"/>
      <c r="BNI264" s="297"/>
      <c r="BNJ264" s="297"/>
      <c r="BNK264" s="297"/>
      <c r="BNL264" s="297"/>
      <c r="BNM264" s="297"/>
      <c r="BNN264" s="297"/>
      <c r="BNO264" s="297"/>
      <c r="BNP264" s="297"/>
      <c r="BNQ264" s="297"/>
      <c r="BNR264" s="297"/>
      <c r="BNS264" s="297"/>
      <c r="BNT264" s="297"/>
      <c r="BNU264" s="297"/>
      <c r="BNV264" s="297"/>
      <c r="BNW264" s="297"/>
      <c r="BNX264" s="297"/>
      <c r="BNY264" s="297"/>
      <c r="BNZ264" s="297"/>
      <c r="BOA264" s="297"/>
      <c r="BOB264" s="297"/>
      <c r="BOC264" s="297"/>
      <c r="BOD264" s="297"/>
      <c r="BOE264" s="297"/>
      <c r="BOF264" s="297"/>
      <c r="BOG264" s="297"/>
      <c r="BOH264" s="297"/>
      <c r="BOI264" s="297"/>
      <c r="BOJ264" s="297"/>
      <c r="BOK264" s="297"/>
      <c r="BOL264" s="297"/>
      <c r="BOM264" s="297"/>
      <c r="BON264" s="297"/>
      <c r="BOO264" s="297"/>
      <c r="BOP264" s="297"/>
      <c r="BOQ264" s="297"/>
      <c r="BOR264" s="297"/>
      <c r="BOS264" s="297"/>
      <c r="BOT264" s="297"/>
      <c r="BOU264" s="297"/>
      <c r="BOV264" s="297"/>
      <c r="BOW264" s="297"/>
      <c r="BOX264" s="297"/>
      <c r="BOY264" s="297"/>
      <c r="BOZ264" s="297"/>
      <c r="BPA264" s="297"/>
      <c r="BPB264" s="297"/>
      <c r="BPC264" s="297"/>
      <c r="BPD264" s="297"/>
      <c r="BPE264" s="297"/>
      <c r="BPF264" s="297"/>
      <c r="BPG264" s="297"/>
      <c r="BPH264" s="297"/>
      <c r="BPI264" s="297"/>
      <c r="BPJ264" s="297"/>
      <c r="BPK264" s="297"/>
      <c r="BPL264" s="297"/>
      <c r="BPM264" s="297"/>
      <c r="BPN264" s="297"/>
      <c r="BPO264" s="297"/>
      <c r="BPP264" s="297"/>
      <c r="BPQ264" s="297"/>
      <c r="BPR264" s="297"/>
      <c r="BPS264" s="297"/>
      <c r="BPT264" s="297"/>
      <c r="BPU264" s="297"/>
      <c r="BPV264" s="297"/>
      <c r="BPW264" s="297"/>
      <c r="BPX264" s="297"/>
      <c r="BPY264" s="297"/>
      <c r="BPZ264" s="297"/>
      <c r="BQA264" s="297"/>
      <c r="BQB264" s="297"/>
      <c r="BQC264" s="297"/>
      <c r="BQD264" s="297"/>
      <c r="BQE264" s="297"/>
      <c r="BQF264" s="297"/>
      <c r="BQG264" s="297"/>
      <c r="BQH264" s="297"/>
      <c r="BQI264" s="297"/>
      <c r="BQJ264" s="297"/>
      <c r="BQK264" s="297"/>
      <c r="BQL264" s="297"/>
      <c r="BQM264" s="297"/>
      <c r="BQN264" s="297"/>
      <c r="BQO264" s="297"/>
      <c r="BQP264" s="297"/>
      <c r="BQQ264" s="297"/>
      <c r="BQR264" s="297"/>
      <c r="BQS264" s="297"/>
      <c r="BQT264" s="297"/>
      <c r="BQU264" s="297"/>
      <c r="BQV264" s="297"/>
      <c r="BQW264" s="297"/>
      <c r="BQX264" s="297"/>
      <c r="BQY264" s="297"/>
      <c r="BQZ264" s="297"/>
      <c r="BRA264" s="297"/>
      <c r="BRB264" s="297"/>
      <c r="BRC264" s="297"/>
      <c r="BRD264" s="297"/>
      <c r="BRE264" s="297"/>
      <c r="BRF264" s="297"/>
      <c r="BRG264" s="297"/>
      <c r="BRH264" s="297"/>
      <c r="BRI264" s="297"/>
      <c r="BRJ264" s="297"/>
      <c r="BRK264" s="297"/>
      <c r="BRL264" s="297"/>
      <c r="BRM264" s="297"/>
      <c r="BRN264" s="297"/>
      <c r="BRO264" s="297"/>
      <c r="BRP264" s="297"/>
      <c r="BRQ264" s="297"/>
      <c r="BRR264" s="297"/>
      <c r="BRS264" s="297"/>
      <c r="BRT264" s="297"/>
      <c r="BRU264" s="297"/>
      <c r="BRV264" s="297"/>
      <c r="BRW264" s="297"/>
      <c r="BRX264" s="297"/>
      <c r="BRY264" s="297"/>
      <c r="BRZ264" s="297"/>
      <c r="BSA264" s="297"/>
      <c r="BSB264" s="297"/>
      <c r="BSC264" s="297"/>
      <c r="BSD264" s="297"/>
      <c r="BSE264" s="297"/>
      <c r="BSF264" s="297"/>
      <c r="BSG264" s="297"/>
      <c r="BSH264" s="297"/>
      <c r="BSI264" s="297"/>
      <c r="BSJ264" s="297"/>
      <c r="BSK264" s="297"/>
      <c r="BSL264" s="297"/>
      <c r="BSM264" s="297"/>
      <c r="BSN264" s="297"/>
      <c r="BSO264" s="297"/>
      <c r="BSP264" s="297"/>
      <c r="BSQ264" s="297"/>
      <c r="BSR264" s="297"/>
      <c r="BSS264" s="297"/>
      <c r="BST264" s="297"/>
      <c r="BSU264" s="297"/>
      <c r="BSV264" s="297"/>
      <c r="BSW264" s="297"/>
      <c r="BSX264" s="297"/>
      <c r="BSY264" s="297"/>
      <c r="BSZ264" s="297"/>
      <c r="BTA264" s="297"/>
      <c r="BTB264" s="297"/>
      <c r="BTC264" s="297"/>
      <c r="BTD264" s="297"/>
      <c r="BTE264" s="297"/>
      <c r="BTF264" s="297"/>
      <c r="BTG264" s="297"/>
      <c r="BTH264" s="297"/>
      <c r="BTI264" s="297"/>
      <c r="BTJ264" s="297"/>
      <c r="BTK264" s="297"/>
      <c r="BTL264" s="297"/>
      <c r="BTM264" s="297"/>
      <c r="BTN264" s="297"/>
      <c r="BTO264" s="297"/>
      <c r="BTP264" s="297"/>
      <c r="BTQ264" s="297"/>
      <c r="BTR264" s="297"/>
      <c r="BTS264" s="297"/>
      <c r="BTT264" s="297"/>
      <c r="BTU264" s="297"/>
      <c r="BTV264" s="297"/>
      <c r="BTW264" s="297"/>
      <c r="BTX264" s="297"/>
      <c r="BTY264" s="297"/>
      <c r="BTZ264" s="297"/>
      <c r="BUA264" s="297"/>
      <c r="BUB264" s="297"/>
      <c r="BUC264" s="297"/>
      <c r="BUD264" s="297"/>
      <c r="BUE264" s="297"/>
      <c r="BUF264" s="297"/>
      <c r="BUG264" s="297"/>
      <c r="BUH264" s="297"/>
      <c r="BUI264" s="297"/>
      <c r="BUJ264" s="297"/>
      <c r="BUK264" s="297"/>
      <c r="BUL264" s="297"/>
      <c r="BUM264" s="297"/>
      <c r="BUN264" s="297"/>
      <c r="BUO264" s="297"/>
      <c r="BUP264" s="297"/>
      <c r="BUQ264" s="297"/>
      <c r="BUR264" s="297"/>
      <c r="BUS264" s="297"/>
      <c r="BUT264" s="297"/>
      <c r="BUU264" s="297"/>
      <c r="BUV264" s="297"/>
      <c r="BUW264" s="297"/>
      <c r="BUX264" s="297"/>
      <c r="BUY264" s="297"/>
      <c r="BUZ264" s="297"/>
      <c r="BVA264" s="297"/>
      <c r="BVB264" s="297"/>
      <c r="BVC264" s="297"/>
      <c r="BVD264" s="297"/>
      <c r="BVE264" s="297"/>
      <c r="BVF264" s="297"/>
      <c r="BVG264" s="297"/>
      <c r="BVH264" s="297"/>
      <c r="BVI264" s="297"/>
      <c r="BVJ264" s="297"/>
      <c r="BVK264" s="297"/>
      <c r="BVL264" s="297"/>
      <c r="BVM264" s="297"/>
      <c r="BVN264" s="297"/>
      <c r="BVO264" s="297"/>
      <c r="BVP264" s="297"/>
      <c r="BVQ264" s="297"/>
      <c r="BVR264" s="297"/>
      <c r="BVS264" s="297"/>
      <c r="BVT264" s="297"/>
      <c r="BVU264" s="297"/>
      <c r="BVV264" s="297"/>
      <c r="BVW264" s="297"/>
      <c r="BVX264" s="297"/>
      <c r="BVY264" s="297"/>
      <c r="BVZ264" s="297"/>
      <c r="BWA264" s="297"/>
      <c r="BWB264" s="297"/>
      <c r="BWC264" s="297"/>
      <c r="BWD264" s="297"/>
      <c r="BWE264" s="297"/>
      <c r="BWF264" s="297"/>
      <c r="BWG264" s="297"/>
      <c r="BWH264" s="297"/>
      <c r="BWI264" s="297"/>
      <c r="BWJ264" s="297"/>
      <c r="BWK264" s="297"/>
      <c r="BWL264" s="297"/>
      <c r="BWM264" s="297"/>
      <c r="BWN264" s="297"/>
      <c r="BWO264" s="297"/>
      <c r="BWP264" s="297"/>
      <c r="BWQ264" s="297"/>
      <c r="BWR264" s="297"/>
      <c r="BWS264" s="297"/>
      <c r="BWT264" s="297"/>
      <c r="BWU264" s="297"/>
      <c r="BWV264" s="297"/>
      <c r="BWW264" s="297"/>
      <c r="BWX264" s="297"/>
      <c r="BWY264" s="297"/>
      <c r="BWZ264" s="297"/>
      <c r="BXA264" s="297"/>
      <c r="BXB264" s="297"/>
      <c r="BXC264" s="297"/>
      <c r="BXD264" s="297"/>
      <c r="BXE264" s="297"/>
      <c r="BXF264" s="297"/>
      <c r="BXG264" s="297"/>
      <c r="BXH264" s="297"/>
      <c r="BXI264" s="297"/>
      <c r="BXJ264" s="297"/>
      <c r="BXK264" s="297"/>
      <c r="BXL264" s="297"/>
      <c r="BXM264" s="297"/>
      <c r="BXN264" s="297"/>
      <c r="BXO264" s="297"/>
      <c r="BXP264" s="297"/>
      <c r="BXQ264" s="297"/>
      <c r="BXR264" s="297"/>
      <c r="BXS264" s="297"/>
      <c r="BXT264" s="297"/>
      <c r="BXU264" s="297"/>
      <c r="BXV264" s="297"/>
      <c r="BXW264" s="297"/>
      <c r="BXX264" s="297"/>
      <c r="BXY264" s="297"/>
      <c r="BXZ264" s="297"/>
      <c r="BYA264" s="297"/>
      <c r="BYB264" s="297"/>
      <c r="BYC264" s="297"/>
      <c r="BYD264" s="297"/>
      <c r="BYE264" s="297"/>
      <c r="BYF264" s="297"/>
      <c r="BYG264" s="297"/>
      <c r="BYH264" s="297"/>
      <c r="BYI264" s="297"/>
      <c r="BYJ264" s="297"/>
      <c r="BYK264" s="297"/>
      <c r="BYL264" s="297"/>
      <c r="BYM264" s="297"/>
      <c r="BYN264" s="297"/>
      <c r="BYO264" s="297"/>
      <c r="BYP264" s="297"/>
      <c r="BYQ264" s="297"/>
      <c r="BYR264" s="297"/>
      <c r="BYS264" s="297"/>
      <c r="BYT264" s="297"/>
      <c r="BYU264" s="297"/>
      <c r="BYV264" s="297"/>
      <c r="BYW264" s="297"/>
      <c r="BYX264" s="297"/>
      <c r="BYY264" s="297"/>
      <c r="BYZ264" s="297"/>
      <c r="BZA264" s="297"/>
      <c r="BZB264" s="297"/>
      <c r="BZC264" s="297"/>
      <c r="BZD264" s="297"/>
      <c r="BZE264" s="297"/>
      <c r="BZF264" s="297"/>
      <c r="BZG264" s="297"/>
      <c r="BZH264" s="297"/>
      <c r="BZI264" s="297"/>
      <c r="BZJ264" s="297"/>
      <c r="BZK264" s="297"/>
      <c r="BZL264" s="297"/>
      <c r="BZM264" s="297"/>
      <c r="BZN264" s="297"/>
      <c r="BZO264" s="297"/>
      <c r="BZP264" s="297"/>
      <c r="BZQ264" s="297"/>
      <c r="BZR264" s="297"/>
      <c r="BZS264" s="297"/>
      <c r="BZT264" s="297"/>
      <c r="BZU264" s="297"/>
      <c r="BZV264" s="297"/>
      <c r="BZW264" s="297"/>
      <c r="BZX264" s="297"/>
      <c r="BZY264" s="297"/>
      <c r="BZZ264" s="297"/>
      <c r="CAA264" s="297"/>
      <c r="CAB264" s="297"/>
      <c r="CAC264" s="297"/>
      <c r="CAD264" s="297"/>
      <c r="CAE264" s="297"/>
      <c r="CAF264" s="297"/>
      <c r="CAG264" s="297"/>
      <c r="CAH264" s="297"/>
      <c r="CAI264" s="297"/>
      <c r="CAJ264" s="297"/>
      <c r="CAK264" s="297"/>
      <c r="CAL264" s="297"/>
      <c r="CAM264" s="297"/>
      <c r="CAN264" s="297"/>
      <c r="CAO264" s="297"/>
      <c r="CAP264" s="297"/>
      <c r="CAQ264" s="297"/>
      <c r="CAR264" s="297"/>
      <c r="CAS264" s="297"/>
      <c r="CAT264" s="297"/>
      <c r="CAU264" s="297"/>
      <c r="CAV264" s="297"/>
      <c r="CAW264" s="297"/>
      <c r="CAX264" s="297"/>
      <c r="CAY264" s="297"/>
      <c r="CAZ264" s="297"/>
      <c r="CBA264" s="297"/>
      <c r="CBB264" s="297"/>
      <c r="CBC264" s="297"/>
      <c r="CBD264" s="297"/>
      <c r="CBE264" s="297"/>
      <c r="CBF264" s="297"/>
      <c r="CBG264" s="297"/>
      <c r="CBH264" s="297"/>
      <c r="CBI264" s="297"/>
      <c r="CBJ264" s="297"/>
      <c r="CBK264" s="297"/>
      <c r="CBL264" s="297"/>
      <c r="CBM264" s="297"/>
      <c r="CBN264" s="297"/>
      <c r="CBO264" s="297"/>
      <c r="CBP264" s="297"/>
      <c r="CBQ264" s="297"/>
      <c r="CBR264" s="297"/>
      <c r="CBS264" s="297"/>
      <c r="CBT264" s="297"/>
      <c r="CBU264" s="297"/>
      <c r="CBV264" s="297"/>
      <c r="CBW264" s="297"/>
      <c r="CBX264" s="297"/>
      <c r="CBY264" s="297"/>
      <c r="CBZ264" s="297"/>
      <c r="CCA264" s="297"/>
      <c r="CCB264" s="297"/>
      <c r="CCC264" s="297"/>
      <c r="CCD264" s="297"/>
      <c r="CCE264" s="297"/>
      <c r="CCF264" s="297"/>
      <c r="CCG264" s="297"/>
      <c r="CCH264" s="297"/>
      <c r="CCI264" s="297"/>
      <c r="CCJ264" s="297"/>
      <c r="CCK264" s="297"/>
      <c r="CCL264" s="297"/>
      <c r="CCM264" s="297"/>
      <c r="CCN264" s="297"/>
      <c r="CCO264" s="297"/>
      <c r="CCP264" s="297"/>
      <c r="CCQ264" s="297"/>
      <c r="CCR264" s="297"/>
      <c r="CCS264" s="297"/>
      <c r="CCT264" s="297"/>
      <c r="CCU264" s="297"/>
      <c r="CCV264" s="297"/>
      <c r="CCW264" s="297"/>
      <c r="CCX264" s="297"/>
      <c r="CCY264" s="297"/>
      <c r="CCZ264" s="297"/>
      <c r="CDA264" s="297"/>
      <c r="CDB264" s="297"/>
      <c r="CDC264" s="297"/>
      <c r="CDD264" s="297"/>
      <c r="CDE264" s="297"/>
      <c r="CDF264" s="297"/>
      <c r="CDG264" s="297"/>
      <c r="CDH264" s="297"/>
      <c r="CDI264" s="297"/>
      <c r="CDJ264" s="297"/>
      <c r="CDK264" s="297"/>
      <c r="CDL264" s="297"/>
      <c r="CDM264" s="297"/>
      <c r="CDN264" s="297"/>
      <c r="CDO264" s="297"/>
      <c r="CDP264" s="297"/>
      <c r="CDQ264" s="297"/>
      <c r="CDR264" s="297"/>
      <c r="CDS264" s="297"/>
      <c r="CDT264" s="297"/>
      <c r="CDU264" s="297"/>
      <c r="CDV264" s="297"/>
      <c r="CDW264" s="297"/>
      <c r="CDX264" s="297"/>
      <c r="CDY264" s="297"/>
      <c r="CDZ264" s="297"/>
      <c r="CEA264" s="297"/>
      <c r="CEB264" s="297"/>
      <c r="CEC264" s="297"/>
      <c r="CED264" s="297"/>
      <c r="CEE264" s="297"/>
      <c r="CEF264" s="297"/>
      <c r="CEG264" s="297"/>
      <c r="CEH264" s="297"/>
      <c r="CEI264" s="297"/>
      <c r="CEJ264" s="297"/>
      <c r="CEK264" s="297"/>
      <c r="CEL264" s="297"/>
      <c r="CEM264" s="297"/>
      <c r="CEN264" s="297"/>
      <c r="CEO264" s="297"/>
      <c r="CEP264" s="297"/>
      <c r="CEQ264" s="297"/>
      <c r="CER264" s="297"/>
      <c r="CES264" s="297"/>
      <c r="CET264" s="297"/>
      <c r="CEU264" s="297"/>
      <c r="CEV264" s="297"/>
      <c r="CEW264" s="297"/>
      <c r="CEX264" s="297"/>
      <c r="CEY264" s="297"/>
      <c r="CEZ264" s="297"/>
      <c r="CFA264" s="297"/>
      <c r="CFB264" s="297"/>
      <c r="CFC264" s="297"/>
      <c r="CFD264" s="297"/>
      <c r="CFE264" s="297"/>
      <c r="CFF264" s="297"/>
      <c r="CFG264" s="297"/>
      <c r="CFH264" s="297"/>
      <c r="CFI264" s="297"/>
      <c r="CFJ264" s="297"/>
      <c r="CFK264" s="297"/>
      <c r="CFL264" s="297"/>
      <c r="CFM264" s="297"/>
      <c r="CFN264" s="297"/>
      <c r="CFO264" s="297"/>
      <c r="CFP264" s="297"/>
      <c r="CFQ264" s="297"/>
      <c r="CFR264" s="297"/>
      <c r="CFS264" s="297"/>
      <c r="CFT264" s="297"/>
      <c r="CFU264" s="297"/>
      <c r="CFV264" s="297"/>
      <c r="CFW264" s="297"/>
      <c r="CFX264" s="297"/>
      <c r="CFY264" s="297"/>
      <c r="CFZ264" s="297"/>
      <c r="CGA264" s="297"/>
      <c r="CGB264" s="297"/>
      <c r="CGC264" s="297"/>
      <c r="CGD264" s="297"/>
      <c r="CGE264" s="297"/>
      <c r="CGF264" s="297"/>
      <c r="CGG264" s="297"/>
      <c r="CGH264" s="297"/>
      <c r="CGI264" s="297"/>
      <c r="CGJ264" s="297"/>
      <c r="CGK264" s="297"/>
      <c r="CGL264" s="297"/>
      <c r="CGM264" s="297"/>
      <c r="CGN264" s="297"/>
      <c r="CGO264" s="297"/>
      <c r="CGP264" s="297"/>
      <c r="CGQ264" s="297"/>
      <c r="CGR264" s="297"/>
      <c r="CGS264" s="297"/>
      <c r="CGT264" s="297"/>
      <c r="CGU264" s="297"/>
      <c r="CGV264" s="297"/>
      <c r="CGW264" s="297"/>
      <c r="CGX264" s="297"/>
      <c r="CGY264" s="297"/>
      <c r="CGZ264" s="297"/>
      <c r="CHA264" s="297"/>
      <c r="CHB264" s="297"/>
      <c r="CHC264" s="297"/>
      <c r="CHD264" s="297"/>
      <c r="CHE264" s="297"/>
      <c r="CHF264" s="297"/>
      <c r="CHG264" s="297"/>
      <c r="CHH264" s="297"/>
      <c r="CHI264" s="297"/>
      <c r="CHJ264" s="297"/>
      <c r="CHK264" s="297"/>
      <c r="CHL264" s="297"/>
      <c r="CHM264" s="297"/>
      <c r="CHN264" s="297"/>
      <c r="CHO264" s="297"/>
      <c r="CHP264" s="297"/>
      <c r="CHQ264" s="297"/>
      <c r="CHR264" s="297"/>
      <c r="CHS264" s="297"/>
      <c r="CHT264" s="297"/>
      <c r="CHU264" s="297"/>
      <c r="CHV264" s="297"/>
      <c r="CHW264" s="297"/>
      <c r="CHX264" s="297"/>
      <c r="CHY264" s="297"/>
      <c r="CHZ264" s="297"/>
      <c r="CIA264" s="297"/>
      <c r="CIB264" s="297"/>
      <c r="CIC264" s="297"/>
      <c r="CID264" s="297"/>
      <c r="CIE264" s="297"/>
      <c r="CIF264" s="297"/>
      <c r="CIG264" s="297"/>
      <c r="CIH264" s="297"/>
      <c r="CII264" s="297"/>
      <c r="CIJ264" s="297"/>
      <c r="CIK264" s="297"/>
      <c r="CIL264" s="297"/>
      <c r="CIM264" s="297"/>
      <c r="CIN264" s="297"/>
      <c r="CIO264" s="297"/>
      <c r="CIP264" s="297"/>
      <c r="CIQ264" s="297"/>
      <c r="CIR264" s="297"/>
      <c r="CIS264" s="297"/>
      <c r="CIT264" s="297"/>
      <c r="CIU264" s="297"/>
      <c r="CIV264" s="297"/>
      <c r="CIW264" s="297"/>
      <c r="CIX264" s="297"/>
      <c r="CIY264" s="297"/>
      <c r="CIZ264" s="297"/>
      <c r="CJA264" s="297"/>
      <c r="CJB264" s="297"/>
      <c r="CJC264" s="297"/>
      <c r="CJD264" s="297"/>
      <c r="CJE264" s="297"/>
      <c r="CJF264" s="297"/>
      <c r="CJG264" s="297"/>
      <c r="CJH264" s="297"/>
      <c r="CJI264" s="297"/>
      <c r="CJJ264" s="297"/>
      <c r="CJK264" s="297"/>
      <c r="CJL264" s="297"/>
      <c r="CJM264" s="297"/>
      <c r="CJN264" s="297"/>
      <c r="CJO264" s="297"/>
      <c r="CJP264" s="297"/>
      <c r="CJQ264" s="297"/>
      <c r="CJR264" s="297"/>
      <c r="CJS264" s="297"/>
      <c r="CJT264" s="297"/>
      <c r="CJU264" s="297"/>
      <c r="CJV264" s="297"/>
      <c r="CJW264" s="297"/>
      <c r="CJX264" s="297"/>
      <c r="CJY264" s="297"/>
      <c r="CJZ264" s="297"/>
      <c r="CKA264" s="297"/>
      <c r="CKB264" s="297"/>
      <c r="CKC264" s="297"/>
      <c r="CKD264" s="297"/>
      <c r="CKE264" s="297"/>
      <c r="CKF264" s="297"/>
      <c r="CKG264" s="297"/>
      <c r="CKH264" s="297"/>
      <c r="CKI264" s="297"/>
      <c r="CKJ264" s="297"/>
      <c r="CKK264" s="297"/>
      <c r="CKL264" s="297"/>
      <c r="CKM264" s="297"/>
      <c r="CKN264" s="297"/>
      <c r="CKO264" s="297"/>
      <c r="CKP264" s="297"/>
      <c r="CKQ264" s="297"/>
      <c r="CKR264" s="297"/>
      <c r="CKS264" s="297"/>
      <c r="CKT264" s="297"/>
      <c r="CKU264" s="297"/>
      <c r="CKV264" s="297"/>
      <c r="CKW264" s="297"/>
      <c r="CKX264" s="297"/>
      <c r="CKY264" s="297"/>
      <c r="CKZ264" s="297"/>
      <c r="CLA264" s="297"/>
      <c r="CLB264" s="297"/>
      <c r="CLC264" s="297"/>
      <c r="CLD264" s="297"/>
      <c r="CLE264" s="297"/>
      <c r="CLF264" s="297"/>
      <c r="CLG264" s="297"/>
      <c r="CLH264" s="297"/>
      <c r="CLI264" s="297"/>
      <c r="CLJ264" s="297"/>
      <c r="CLK264" s="297"/>
      <c r="CLL264" s="297"/>
      <c r="CLM264" s="297"/>
      <c r="CLN264" s="297"/>
      <c r="CLO264" s="297"/>
      <c r="CLP264" s="297"/>
      <c r="CLQ264" s="297"/>
      <c r="CLR264" s="297"/>
      <c r="CLS264" s="297"/>
      <c r="CLT264" s="297"/>
      <c r="CLU264" s="297"/>
      <c r="CLV264" s="297"/>
      <c r="CLW264" s="297"/>
      <c r="CLX264" s="297"/>
      <c r="CLY264" s="297"/>
      <c r="CLZ264" s="297"/>
      <c r="CMA264" s="297"/>
      <c r="CMB264" s="297"/>
      <c r="CMC264" s="297"/>
      <c r="CMD264" s="297"/>
      <c r="CME264" s="297"/>
      <c r="CMF264" s="297"/>
      <c r="CMG264" s="297"/>
      <c r="CMH264" s="297"/>
      <c r="CMI264" s="297"/>
      <c r="CMJ264" s="297"/>
      <c r="CMK264" s="297"/>
      <c r="CML264" s="297"/>
      <c r="CMM264" s="297"/>
      <c r="CMN264" s="297"/>
      <c r="CMO264" s="297"/>
      <c r="CMP264" s="297"/>
      <c r="CMQ264" s="297"/>
      <c r="CMR264" s="297"/>
      <c r="CMS264" s="297"/>
      <c r="CMT264" s="297"/>
      <c r="CMU264" s="297"/>
      <c r="CMV264" s="297"/>
      <c r="CMW264" s="297"/>
      <c r="CMX264" s="297"/>
      <c r="CMY264" s="297"/>
      <c r="CMZ264" s="297"/>
      <c r="CNA264" s="297"/>
      <c r="CNB264" s="297"/>
      <c r="CNC264" s="297"/>
      <c r="CND264" s="297"/>
      <c r="CNE264" s="297"/>
      <c r="CNF264" s="297"/>
      <c r="CNG264" s="297"/>
      <c r="CNH264" s="297"/>
      <c r="CNI264" s="297"/>
      <c r="CNJ264" s="297"/>
      <c r="CNK264" s="297"/>
      <c r="CNL264" s="297"/>
      <c r="CNM264" s="297"/>
      <c r="CNN264" s="297"/>
      <c r="CNO264" s="297"/>
      <c r="CNP264" s="297"/>
      <c r="CNQ264" s="297"/>
      <c r="CNR264" s="297"/>
      <c r="CNS264" s="297"/>
      <c r="CNT264" s="297"/>
      <c r="CNU264" s="297"/>
      <c r="CNV264" s="297"/>
      <c r="CNW264" s="297"/>
      <c r="CNX264" s="297"/>
      <c r="CNY264" s="297"/>
      <c r="CNZ264" s="297"/>
      <c r="COA264" s="297"/>
      <c r="COB264" s="297"/>
      <c r="COC264" s="297"/>
      <c r="COD264" s="297"/>
      <c r="COE264" s="297"/>
      <c r="COF264" s="297"/>
      <c r="COG264" s="297"/>
      <c r="COH264" s="297"/>
      <c r="COI264" s="297"/>
      <c r="COJ264" s="297"/>
      <c r="COK264" s="297"/>
      <c r="COL264" s="297"/>
      <c r="COM264" s="297"/>
      <c r="CON264" s="297"/>
      <c r="COO264" s="297"/>
      <c r="COP264" s="297"/>
      <c r="COQ264" s="297"/>
      <c r="COR264" s="297"/>
      <c r="COS264" s="297"/>
      <c r="COT264" s="297"/>
      <c r="COU264" s="297"/>
      <c r="COV264" s="297"/>
      <c r="COW264" s="297"/>
      <c r="COX264" s="297"/>
      <c r="COY264" s="297"/>
      <c r="COZ264" s="297"/>
      <c r="CPA264" s="297"/>
      <c r="CPB264" s="297"/>
      <c r="CPC264" s="297"/>
      <c r="CPD264" s="297"/>
      <c r="CPE264" s="297"/>
      <c r="CPF264" s="297"/>
      <c r="CPG264" s="297"/>
      <c r="CPH264" s="297"/>
      <c r="CPI264" s="297"/>
      <c r="CPJ264" s="297"/>
      <c r="CPK264" s="297"/>
      <c r="CPL264" s="297"/>
      <c r="CPM264" s="297"/>
      <c r="CPN264" s="297"/>
      <c r="CPO264" s="297"/>
      <c r="CPP264" s="297"/>
      <c r="CPQ264" s="297"/>
      <c r="CPR264" s="297"/>
      <c r="CPS264" s="297"/>
      <c r="CPT264" s="297"/>
      <c r="CPU264" s="297"/>
      <c r="CPV264" s="297"/>
      <c r="CPW264" s="297"/>
      <c r="CPX264" s="297"/>
      <c r="CPY264" s="297"/>
      <c r="CPZ264" s="297"/>
      <c r="CQA264" s="297"/>
      <c r="CQB264" s="297"/>
      <c r="CQC264" s="297"/>
      <c r="CQD264" s="297"/>
      <c r="CQE264" s="297"/>
      <c r="CQF264" s="297"/>
      <c r="CQG264" s="297"/>
      <c r="CQH264" s="297"/>
      <c r="CQI264" s="297"/>
      <c r="CQJ264" s="297"/>
      <c r="CQK264" s="297"/>
      <c r="CQL264" s="297"/>
      <c r="CQM264" s="297"/>
      <c r="CQN264" s="297"/>
      <c r="CQO264" s="297"/>
      <c r="CQP264" s="297"/>
      <c r="CQQ264" s="297"/>
      <c r="CQR264" s="297"/>
      <c r="CQS264" s="297"/>
      <c r="CQT264" s="297"/>
      <c r="CQU264" s="297"/>
      <c r="CQV264" s="297"/>
      <c r="CQW264" s="297"/>
      <c r="CQX264" s="297"/>
      <c r="CQY264" s="297"/>
      <c r="CQZ264" s="297"/>
      <c r="CRA264" s="297"/>
      <c r="CRB264" s="297"/>
      <c r="CRC264" s="297"/>
      <c r="CRD264" s="297"/>
      <c r="CRE264" s="297"/>
      <c r="CRF264" s="297"/>
      <c r="CRG264" s="297"/>
      <c r="CRH264" s="297"/>
      <c r="CRI264" s="297"/>
      <c r="CRJ264" s="297"/>
      <c r="CRK264" s="297"/>
      <c r="CRL264" s="297"/>
      <c r="CRM264" s="297"/>
      <c r="CRN264" s="297"/>
      <c r="CRO264" s="297"/>
      <c r="CRP264" s="297"/>
      <c r="CRQ264" s="297"/>
      <c r="CRR264" s="297"/>
      <c r="CRS264" s="297"/>
      <c r="CRT264" s="297"/>
      <c r="CRU264" s="297"/>
      <c r="CRV264" s="297"/>
      <c r="CRW264" s="297"/>
      <c r="CRX264" s="297"/>
      <c r="CRY264" s="297"/>
      <c r="CRZ264" s="297"/>
      <c r="CSA264" s="297"/>
      <c r="CSB264" s="297"/>
      <c r="CSC264" s="297"/>
      <c r="CSD264" s="297"/>
      <c r="CSE264" s="297"/>
      <c r="CSF264" s="297"/>
      <c r="CSG264" s="297"/>
      <c r="CSH264" s="297"/>
      <c r="CSI264" s="297"/>
      <c r="CSJ264" s="297"/>
      <c r="CSK264" s="297"/>
      <c r="CSL264" s="297"/>
      <c r="CSM264" s="297"/>
      <c r="CSN264" s="297"/>
      <c r="CSO264" s="297"/>
      <c r="CSP264" s="297"/>
      <c r="CSQ264" s="297"/>
      <c r="CSR264" s="297"/>
      <c r="CSS264" s="297"/>
      <c r="CST264" s="297"/>
      <c r="CSU264" s="297"/>
      <c r="CSV264" s="297"/>
      <c r="CSW264" s="297"/>
      <c r="CSX264" s="297"/>
      <c r="CSY264" s="297"/>
      <c r="CSZ264" s="297"/>
      <c r="CTA264" s="297"/>
      <c r="CTB264" s="297"/>
      <c r="CTC264" s="297"/>
      <c r="CTD264" s="297"/>
      <c r="CTE264" s="297"/>
      <c r="CTF264" s="297"/>
      <c r="CTG264" s="297"/>
      <c r="CTH264" s="297"/>
      <c r="CTI264" s="297"/>
      <c r="CTJ264" s="297"/>
      <c r="CTK264" s="297"/>
      <c r="CTL264" s="297"/>
      <c r="CTM264" s="297"/>
      <c r="CTN264" s="297"/>
      <c r="CTO264" s="297"/>
      <c r="CTP264" s="297"/>
      <c r="CTQ264" s="297"/>
      <c r="CTR264" s="297"/>
      <c r="CTS264" s="297"/>
      <c r="CTT264" s="297"/>
      <c r="CTU264" s="297"/>
      <c r="CTV264" s="297"/>
      <c r="CTW264" s="297"/>
      <c r="CTX264" s="297"/>
      <c r="CTY264" s="297"/>
      <c r="CTZ264" s="297"/>
      <c r="CUA264" s="297"/>
      <c r="CUB264" s="297"/>
      <c r="CUC264" s="297"/>
      <c r="CUD264" s="297"/>
      <c r="CUE264" s="297"/>
      <c r="CUF264" s="297"/>
      <c r="CUG264" s="297"/>
      <c r="CUH264" s="297"/>
      <c r="CUI264" s="297"/>
      <c r="CUJ264" s="297"/>
      <c r="CUK264" s="297"/>
      <c r="CUL264" s="297"/>
      <c r="CUM264" s="297"/>
      <c r="CUN264" s="297"/>
      <c r="CUO264" s="297"/>
      <c r="CUP264" s="297"/>
      <c r="CUQ264" s="297"/>
      <c r="CUR264" s="297"/>
      <c r="CUS264" s="297"/>
      <c r="CUT264" s="297"/>
      <c r="CUU264" s="297"/>
      <c r="CUV264" s="297"/>
      <c r="CUW264" s="297"/>
      <c r="CUX264" s="297"/>
      <c r="CUY264" s="297"/>
      <c r="CUZ264" s="297"/>
      <c r="CVA264" s="297"/>
      <c r="CVB264" s="297"/>
      <c r="CVC264" s="297"/>
      <c r="CVD264" s="297"/>
      <c r="CVE264" s="297"/>
      <c r="CVF264" s="297"/>
      <c r="CVG264" s="297"/>
      <c r="CVH264" s="297"/>
      <c r="CVI264" s="297"/>
      <c r="CVJ264" s="297"/>
      <c r="CVK264" s="297"/>
      <c r="CVL264" s="297"/>
      <c r="CVM264" s="297"/>
      <c r="CVN264" s="297"/>
      <c r="CVO264" s="297"/>
      <c r="CVP264" s="297"/>
      <c r="CVQ264" s="297"/>
      <c r="CVR264" s="297"/>
      <c r="CVS264" s="297"/>
      <c r="CVT264" s="297"/>
      <c r="CVU264" s="297"/>
      <c r="CVV264" s="297"/>
      <c r="CVW264" s="297"/>
      <c r="CVX264" s="297"/>
      <c r="CVY264" s="297"/>
      <c r="CVZ264" s="297"/>
      <c r="CWA264" s="297"/>
      <c r="CWB264" s="297"/>
      <c r="CWC264" s="297"/>
      <c r="CWD264" s="297"/>
      <c r="CWE264" s="297"/>
      <c r="CWF264" s="297"/>
      <c r="CWG264" s="297"/>
      <c r="CWH264" s="297"/>
      <c r="CWI264" s="297"/>
      <c r="CWJ264" s="297"/>
      <c r="CWK264" s="297"/>
      <c r="CWL264" s="297"/>
      <c r="CWM264" s="297"/>
      <c r="CWN264" s="297"/>
      <c r="CWO264" s="297"/>
      <c r="CWP264" s="297"/>
      <c r="CWQ264" s="297"/>
      <c r="CWR264" s="297"/>
      <c r="CWS264" s="297"/>
      <c r="CWT264" s="297"/>
      <c r="CWU264" s="297"/>
      <c r="CWV264" s="297"/>
      <c r="CWW264" s="297"/>
      <c r="CWX264" s="297"/>
      <c r="CWY264" s="297"/>
      <c r="CWZ264" s="297"/>
      <c r="CXA264" s="297"/>
      <c r="CXB264" s="297"/>
      <c r="CXC264" s="297"/>
      <c r="CXD264" s="297"/>
      <c r="CXE264" s="297"/>
      <c r="CXF264" s="297"/>
      <c r="CXG264" s="297"/>
      <c r="CXH264" s="297"/>
      <c r="CXI264" s="297"/>
      <c r="CXJ264" s="297"/>
      <c r="CXK264" s="297"/>
      <c r="CXL264" s="297"/>
      <c r="CXM264" s="297"/>
      <c r="CXN264" s="297"/>
      <c r="CXO264" s="297"/>
      <c r="CXP264" s="297"/>
      <c r="CXQ264" s="297"/>
      <c r="CXR264" s="297"/>
      <c r="CXS264" s="297"/>
      <c r="CXT264" s="297"/>
      <c r="CXU264" s="297"/>
      <c r="CXV264" s="297"/>
      <c r="CXW264" s="297"/>
      <c r="CXX264" s="297"/>
      <c r="CXY264" s="297"/>
      <c r="CXZ264" s="297"/>
      <c r="CYA264" s="297"/>
      <c r="CYB264" s="297"/>
      <c r="CYC264" s="297"/>
      <c r="CYD264" s="297"/>
      <c r="CYE264" s="297"/>
      <c r="CYF264" s="297"/>
      <c r="CYG264" s="297"/>
      <c r="CYH264" s="297"/>
      <c r="CYI264" s="297"/>
      <c r="CYJ264" s="297"/>
      <c r="CYK264" s="297"/>
      <c r="CYL264" s="297"/>
      <c r="CYM264" s="297"/>
      <c r="CYN264" s="297"/>
      <c r="CYO264" s="297"/>
      <c r="CYP264" s="297"/>
      <c r="CYQ264" s="297"/>
      <c r="CYR264" s="297"/>
      <c r="CYS264" s="297"/>
      <c r="CYT264" s="297"/>
      <c r="CYU264" s="297"/>
      <c r="CYV264" s="297"/>
      <c r="CYW264" s="297"/>
      <c r="CYX264" s="297"/>
      <c r="CYY264" s="297"/>
      <c r="CYZ264" s="297"/>
      <c r="CZA264" s="297"/>
      <c r="CZB264" s="297"/>
      <c r="CZC264" s="297"/>
      <c r="CZD264" s="297"/>
      <c r="CZE264" s="297"/>
      <c r="CZF264" s="297"/>
      <c r="CZG264" s="297"/>
      <c r="CZH264" s="297"/>
      <c r="CZI264" s="297"/>
      <c r="CZJ264" s="297"/>
      <c r="CZK264" s="297"/>
      <c r="CZL264" s="297"/>
      <c r="CZM264" s="297"/>
      <c r="CZN264" s="297"/>
      <c r="CZO264" s="297"/>
      <c r="CZP264" s="297"/>
      <c r="CZQ264" s="297"/>
      <c r="CZR264" s="297"/>
      <c r="CZS264" s="297"/>
      <c r="CZT264" s="297"/>
      <c r="CZU264" s="297"/>
      <c r="CZV264" s="297"/>
      <c r="CZW264" s="297"/>
      <c r="CZX264" s="297"/>
      <c r="CZY264" s="297"/>
      <c r="CZZ264" s="297"/>
      <c r="DAA264" s="297"/>
      <c r="DAB264" s="297"/>
      <c r="DAC264" s="297"/>
      <c r="DAD264" s="297"/>
      <c r="DAE264" s="297"/>
      <c r="DAF264" s="297"/>
      <c r="DAG264" s="297"/>
      <c r="DAH264" s="297"/>
      <c r="DAI264" s="297"/>
      <c r="DAJ264" s="297"/>
      <c r="DAK264" s="297"/>
      <c r="DAL264" s="297"/>
      <c r="DAM264" s="297"/>
      <c r="DAN264" s="297"/>
      <c r="DAO264" s="297"/>
      <c r="DAP264" s="297"/>
      <c r="DAQ264" s="297"/>
      <c r="DAR264" s="297"/>
      <c r="DAS264" s="297"/>
      <c r="DAT264" s="297"/>
      <c r="DAU264" s="297"/>
      <c r="DAV264" s="297"/>
      <c r="DAW264" s="297"/>
      <c r="DAX264" s="297"/>
      <c r="DAY264" s="297"/>
      <c r="DAZ264" s="297"/>
      <c r="DBA264" s="297"/>
      <c r="DBB264" s="297"/>
      <c r="DBC264" s="297"/>
      <c r="DBD264" s="297"/>
      <c r="DBE264" s="297"/>
      <c r="DBF264" s="297"/>
      <c r="DBG264" s="297"/>
      <c r="DBH264" s="297"/>
      <c r="DBI264" s="297"/>
      <c r="DBJ264" s="297"/>
      <c r="DBK264" s="297"/>
      <c r="DBL264" s="297"/>
      <c r="DBM264" s="297"/>
      <c r="DBN264" s="297"/>
      <c r="DBO264" s="297"/>
      <c r="DBP264" s="297"/>
      <c r="DBQ264" s="297"/>
      <c r="DBR264" s="297"/>
      <c r="DBS264" s="297"/>
      <c r="DBT264" s="297"/>
      <c r="DBU264" s="297"/>
      <c r="DBV264" s="297"/>
      <c r="DBW264" s="297"/>
      <c r="DBX264" s="297"/>
      <c r="DBY264" s="297"/>
      <c r="DBZ264" s="297"/>
      <c r="DCA264" s="297"/>
      <c r="DCB264" s="297"/>
      <c r="DCC264" s="297"/>
      <c r="DCD264" s="297"/>
      <c r="DCE264" s="297"/>
      <c r="DCF264" s="297"/>
      <c r="DCG264" s="297"/>
      <c r="DCH264" s="297"/>
      <c r="DCI264" s="297"/>
      <c r="DCJ264" s="297"/>
      <c r="DCK264" s="297"/>
      <c r="DCL264" s="297"/>
      <c r="DCM264" s="297"/>
      <c r="DCN264" s="297"/>
      <c r="DCO264" s="297"/>
      <c r="DCP264" s="297"/>
      <c r="DCQ264" s="297"/>
      <c r="DCR264" s="297"/>
      <c r="DCS264" s="297"/>
      <c r="DCT264" s="297"/>
      <c r="DCU264" s="297"/>
      <c r="DCV264" s="297"/>
      <c r="DCW264" s="297"/>
      <c r="DCX264" s="297"/>
      <c r="DCY264" s="297"/>
      <c r="DCZ264" s="297"/>
      <c r="DDA264" s="297"/>
      <c r="DDB264" s="297"/>
      <c r="DDC264" s="297"/>
      <c r="DDD264" s="297"/>
      <c r="DDE264" s="297"/>
      <c r="DDF264" s="297"/>
      <c r="DDG264" s="297"/>
      <c r="DDH264" s="297"/>
      <c r="DDI264" s="297"/>
      <c r="DDJ264" s="297"/>
      <c r="DDK264" s="297"/>
      <c r="DDL264" s="297"/>
      <c r="DDM264" s="297"/>
      <c r="DDN264" s="297"/>
      <c r="DDO264" s="297"/>
      <c r="DDP264" s="297"/>
      <c r="DDQ264" s="297"/>
      <c r="DDR264" s="297"/>
      <c r="DDS264" s="297"/>
      <c r="DDT264" s="297"/>
      <c r="DDU264" s="297"/>
      <c r="DDV264" s="297"/>
      <c r="DDW264" s="297"/>
      <c r="DDX264" s="297"/>
      <c r="DDY264" s="297"/>
      <c r="DDZ264" s="297"/>
      <c r="DEA264" s="297"/>
      <c r="DEB264" s="297"/>
      <c r="DEC264" s="297"/>
      <c r="DED264" s="297"/>
      <c r="DEE264" s="297"/>
      <c r="DEF264" s="297"/>
      <c r="DEG264" s="297"/>
      <c r="DEH264" s="297"/>
      <c r="DEI264" s="297"/>
      <c r="DEJ264" s="297"/>
      <c r="DEK264" s="297"/>
      <c r="DEL264" s="297"/>
      <c r="DEM264" s="297"/>
      <c r="DEN264" s="297"/>
      <c r="DEO264" s="297"/>
      <c r="DEP264" s="297"/>
      <c r="DEQ264" s="297"/>
      <c r="DER264" s="297"/>
      <c r="DES264" s="297"/>
      <c r="DET264" s="297"/>
      <c r="DEU264" s="297"/>
      <c r="DEV264" s="297"/>
      <c r="DEW264" s="297"/>
      <c r="DEX264" s="297"/>
      <c r="DEY264" s="297"/>
      <c r="DEZ264" s="297"/>
      <c r="DFA264" s="297"/>
      <c r="DFB264" s="297"/>
      <c r="DFC264" s="297"/>
      <c r="DFD264" s="297"/>
      <c r="DFE264" s="297"/>
      <c r="DFF264" s="297"/>
      <c r="DFG264" s="297"/>
      <c r="DFH264" s="297"/>
      <c r="DFI264" s="297"/>
      <c r="DFJ264" s="297"/>
      <c r="DFK264" s="297"/>
      <c r="DFL264" s="297"/>
      <c r="DFM264" s="297"/>
      <c r="DFN264" s="297"/>
      <c r="DFO264" s="297"/>
      <c r="DFP264" s="297"/>
      <c r="DFQ264" s="297"/>
      <c r="DFR264" s="297"/>
      <c r="DFS264" s="297"/>
      <c r="DFT264" s="297"/>
      <c r="DFU264" s="297"/>
      <c r="DFV264" s="297"/>
      <c r="DFW264" s="297"/>
      <c r="DFX264" s="297"/>
      <c r="DFY264" s="297"/>
      <c r="DFZ264" s="297"/>
      <c r="DGA264" s="297"/>
      <c r="DGB264" s="297"/>
      <c r="DGC264" s="297"/>
      <c r="DGD264" s="297"/>
      <c r="DGE264" s="297"/>
      <c r="DGF264" s="297"/>
      <c r="DGG264" s="297"/>
      <c r="DGH264" s="297"/>
      <c r="DGI264" s="297"/>
      <c r="DGJ264" s="297"/>
      <c r="DGK264" s="297"/>
      <c r="DGL264" s="297"/>
      <c r="DGM264" s="297"/>
      <c r="DGN264" s="297"/>
      <c r="DGO264" s="297"/>
      <c r="DGP264" s="297"/>
      <c r="DGQ264" s="297"/>
      <c r="DGR264" s="297"/>
      <c r="DGS264" s="297"/>
      <c r="DGT264" s="297"/>
      <c r="DGU264" s="297"/>
      <c r="DGV264" s="297"/>
      <c r="DGW264" s="297"/>
      <c r="DGX264" s="297"/>
      <c r="DGY264" s="297"/>
      <c r="DGZ264" s="297"/>
      <c r="DHA264" s="297"/>
      <c r="DHB264" s="297"/>
      <c r="DHC264" s="297"/>
      <c r="DHD264" s="297"/>
      <c r="DHE264" s="297"/>
      <c r="DHF264" s="297"/>
      <c r="DHG264" s="297"/>
      <c r="DHH264" s="297"/>
      <c r="DHI264" s="297"/>
      <c r="DHJ264" s="297"/>
      <c r="DHK264" s="297"/>
      <c r="DHL264" s="297"/>
      <c r="DHM264" s="297"/>
      <c r="DHN264" s="297"/>
      <c r="DHO264" s="297"/>
      <c r="DHP264" s="297"/>
      <c r="DHQ264" s="297"/>
      <c r="DHR264" s="297"/>
      <c r="DHS264" s="297"/>
      <c r="DHT264" s="297"/>
      <c r="DHU264" s="297"/>
      <c r="DHV264" s="297"/>
      <c r="DHW264" s="297"/>
      <c r="DHX264" s="297"/>
      <c r="DHY264" s="297"/>
      <c r="DHZ264" s="297"/>
      <c r="DIA264" s="297"/>
      <c r="DIB264" s="297"/>
      <c r="DIC264" s="297"/>
      <c r="DID264" s="297"/>
      <c r="DIE264" s="297"/>
      <c r="DIF264" s="297"/>
      <c r="DIG264" s="297"/>
      <c r="DIH264" s="297"/>
      <c r="DII264" s="297"/>
      <c r="DIJ264" s="297"/>
      <c r="DIK264" s="297"/>
      <c r="DIL264" s="297"/>
      <c r="DIM264" s="297"/>
      <c r="DIN264" s="297"/>
      <c r="DIO264" s="297"/>
      <c r="DIP264" s="297"/>
      <c r="DIQ264" s="297"/>
      <c r="DIR264" s="297"/>
      <c r="DIS264" s="297"/>
      <c r="DIT264" s="297"/>
      <c r="DIU264" s="297"/>
      <c r="DIV264" s="297"/>
      <c r="DIW264" s="297"/>
      <c r="DIX264" s="297"/>
      <c r="DIY264" s="297"/>
      <c r="DIZ264" s="297"/>
      <c r="DJA264" s="297"/>
      <c r="DJB264" s="297"/>
      <c r="DJC264" s="297"/>
      <c r="DJD264" s="297"/>
      <c r="DJE264" s="297"/>
      <c r="DJF264" s="297"/>
      <c r="DJG264" s="297"/>
      <c r="DJH264" s="297"/>
      <c r="DJI264" s="297"/>
      <c r="DJJ264" s="297"/>
      <c r="DJK264" s="297"/>
      <c r="DJL264" s="297"/>
      <c r="DJM264" s="297"/>
      <c r="DJN264" s="297"/>
      <c r="DJO264" s="297"/>
      <c r="DJP264" s="297"/>
      <c r="DJQ264" s="297"/>
      <c r="DJR264" s="297"/>
      <c r="DJS264" s="297"/>
      <c r="DJT264" s="297"/>
      <c r="DJU264" s="297"/>
      <c r="DJV264" s="297"/>
      <c r="DJW264" s="297"/>
      <c r="DJX264" s="297"/>
      <c r="DJY264" s="297"/>
      <c r="DJZ264" s="297"/>
      <c r="DKA264" s="297"/>
      <c r="DKB264" s="297"/>
      <c r="DKC264" s="297"/>
      <c r="DKD264" s="297"/>
      <c r="DKE264" s="297"/>
      <c r="DKF264" s="297"/>
      <c r="DKG264" s="297"/>
      <c r="DKH264" s="297"/>
      <c r="DKI264" s="297"/>
      <c r="DKJ264" s="297"/>
      <c r="DKK264" s="297"/>
      <c r="DKL264" s="297"/>
      <c r="DKM264" s="297"/>
      <c r="DKN264" s="297"/>
      <c r="DKO264" s="297"/>
      <c r="DKP264" s="297"/>
      <c r="DKQ264" s="297"/>
      <c r="DKR264" s="297"/>
      <c r="DKS264" s="297"/>
      <c r="DKT264" s="297"/>
      <c r="DKU264" s="297"/>
      <c r="DKV264" s="297"/>
      <c r="DKW264" s="297"/>
      <c r="DKX264" s="297"/>
      <c r="DKY264" s="297"/>
      <c r="DKZ264" s="297"/>
      <c r="DLA264" s="297"/>
      <c r="DLB264" s="297"/>
      <c r="DLC264" s="297"/>
      <c r="DLD264" s="297"/>
      <c r="DLE264" s="297"/>
      <c r="DLF264" s="297"/>
      <c r="DLG264" s="297"/>
      <c r="DLH264" s="297"/>
      <c r="DLI264" s="297"/>
      <c r="DLJ264" s="297"/>
      <c r="DLK264" s="297"/>
      <c r="DLL264" s="297"/>
      <c r="DLM264" s="297"/>
      <c r="DLN264" s="297"/>
      <c r="DLO264" s="297"/>
      <c r="DLP264" s="297"/>
      <c r="DLQ264" s="297"/>
      <c r="DLR264" s="297"/>
      <c r="DLS264" s="297"/>
      <c r="DLT264" s="297"/>
      <c r="DLU264" s="297"/>
      <c r="DLV264" s="297"/>
      <c r="DLW264" s="297"/>
      <c r="DLX264" s="297"/>
      <c r="DLY264" s="297"/>
      <c r="DLZ264" s="297"/>
      <c r="DMA264" s="297"/>
      <c r="DMB264" s="297"/>
      <c r="DMC264" s="297"/>
      <c r="DMD264" s="297"/>
      <c r="DME264" s="297"/>
      <c r="DMF264" s="297"/>
      <c r="DMG264" s="297"/>
      <c r="DMH264" s="297"/>
      <c r="DMI264" s="297"/>
      <c r="DMJ264" s="297"/>
      <c r="DMK264" s="297"/>
      <c r="DML264" s="297"/>
      <c r="DMM264" s="297"/>
      <c r="DMN264" s="297"/>
      <c r="DMO264" s="297"/>
      <c r="DMP264" s="297"/>
      <c r="DMQ264" s="297"/>
      <c r="DMR264" s="297"/>
      <c r="DMS264" s="297"/>
      <c r="DMT264" s="297"/>
      <c r="DMU264" s="297"/>
      <c r="DMV264" s="297"/>
      <c r="DMW264" s="297"/>
      <c r="DMX264" s="297"/>
      <c r="DMY264" s="297"/>
      <c r="DMZ264" s="297"/>
      <c r="DNA264" s="297"/>
      <c r="DNB264" s="297"/>
      <c r="DNC264" s="297"/>
      <c r="DND264" s="297"/>
      <c r="DNE264" s="297"/>
      <c r="DNF264" s="297"/>
      <c r="DNG264" s="297"/>
      <c r="DNH264" s="297"/>
      <c r="DNI264" s="297"/>
      <c r="DNJ264" s="297"/>
      <c r="DNK264" s="297"/>
      <c r="DNL264" s="297"/>
      <c r="DNM264" s="297"/>
      <c r="DNN264" s="297"/>
      <c r="DNO264" s="297"/>
      <c r="DNP264" s="297"/>
      <c r="DNQ264" s="297"/>
      <c r="DNR264" s="297"/>
      <c r="DNS264" s="297"/>
      <c r="DNT264" s="297"/>
      <c r="DNU264" s="297"/>
      <c r="DNV264" s="297"/>
      <c r="DNW264" s="297"/>
      <c r="DNX264" s="297"/>
      <c r="DNY264" s="297"/>
      <c r="DNZ264" s="297"/>
      <c r="DOA264" s="297"/>
      <c r="DOB264" s="297"/>
      <c r="DOC264" s="297"/>
      <c r="DOD264" s="297"/>
      <c r="DOE264" s="297"/>
      <c r="DOF264" s="297"/>
      <c r="DOG264" s="297"/>
      <c r="DOH264" s="297"/>
      <c r="DOI264" s="297"/>
      <c r="DOJ264" s="297"/>
      <c r="DOK264" s="297"/>
      <c r="DOL264" s="297"/>
      <c r="DOM264" s="297"/>
      <c r="DON264" s="297"/>
      <c r="DOO264" s="297"/>
      <c r="DOP264" s="297"/>
      <c r="DOQ264" s="297"/>
      <c r="DOR264" s="297"/>
      <c r="DOS264" s="297"/>
      <c r="DOT264" s="297"/>
      <c r="DOU264" s="297"/>
      <c r="DOV264" s="297"/>
      <c r="DOW264" s="297"/>
      <c r="DOX264" s="297"/>
      <c r="DOY264" s="297"/>
      <c r="DOZ264" s="297"/>
      <c r="DPA264" s="297"/>
      <c r="DPB264" s="297"/>
      <c r="DPC264" s="297"/>
      <c r="DPD264" s="297"/>
      <c r="DPE264" s="297"/>
      <c r="DPF264" s="297"/>
      <c r="DPG264" s="297"/>
      <c r="DPH264" s="297"/>
      <c r="DPI264" s="297"/>
      <c r="DPJ264" s="297"/>
      <c r="DPK264" s="297"/>
      <c r="DPL264" s="297"/>
      <c r="DPM264" s="297"/>
      <c r="DPN264" s="297"/>
      <c r="DPO264" s="297"/>
      <c r="DPP264" s="297"/>
      <c r="DPQ264" s="297"/>
      <c r="DPR264" s="297"/>
      <c r="DPS264" s="297"/>
      <c r="DPT264" s="297"/>
      <c r="DPU264" s="297"/>
      <c r="DPV264" s="297"/>
      <c r="DPW264" s="297"/>
      <c r="DPX264" s="297"/>
      <c r="DPY264" s="297"/>
      <c r="DPZ264" s="297"/>
      <c r="DQA264" s="297"/>
      <c r="DQB264" s="297"/>
      <c r="DQC264" s="297"/>
      <c r="DQD264" s="297"/>
      <c r="DQE264" s="297"/>
      <c r="DQF264" s="297"/>
      <c r="DQG264" s="297"/>
      <c r="DQH264" s="297"/>
      <c r="DQI264" s="297"/>
      <c r="DQJ264" s="297"/>
      <c r="DQK264" s="297"/>
      <c r="DQL264" s="297"/>
      <c r="DQM264" s="297"/>
      <c r="DQN264" s="297"/>
      <c r="DQO264" s="297"/>
      <c r="DQP264" s="297"/>
      <c r="DQQ264" s="297"/>
      <c r="DQR264" s="297"/>
      <c r="DQS264" s="297"/>
      <c r="DQT264" s="297"/>
      <c r="DQU264" s="297"/>
      <c r="DQV264" s="297"/>
      <c r="DQW264" s="297"/>
      <c r="DQX264" s="297"/>
      <c r="DQY264" s="297"/>
      <c r="DQZ264" s="297"/>
      <c r="DRA264" s="297"/>
      <c r="DRB264" s="297"/>
      <c r="DRC264" s="297"/>
      <c r="DRD264" s="297"/>
      <c r="DRE264" s="297"/>
      <c r="DRF264" s="297"/>
      <c r="DRG264" s="297"/>
      <c r="DRH264" s="297"/>
      <c r="DRI264" s="297"/>
      <c r="DRJ264" s="297"/>
      <c r="DRK264" s="297"/>
      <c r="DRL264" s="297"/>
      <c r="DRM264" s="297"/>
      <c r="DRN264" s="297"/>
      <c r="DRO264" s="297"/>
      <c r="DRP264" s="297"/>
      <c r="DRQ264" s="297"/>
      <c r="DRR264" s="297"/>
      <c r="DRS264" s="297"/>
      <c r="DRT264" s="297"/>
      <c r="DRU264" s="297"/>
      <c r="DRV264" s="297"/>
      <c r="DRW264" s="297"/>
      <c r="DRX264" s="297"/>
      <c r="DRY264" s="297"/>
      <c r="DRZ264" s="297"/>
      <c r="DSA264" s="297"/>
      <c r="DSB264" s="297"/>
      <c r="DSC264" s="297"/>
      <c r="DSD264" s="297"/>
      <c r="DSE264" s="297"/>
      <c r="DSF264" s="297"/>
      <c r="DSG264" s="297"/>
      <c r="DSH264" s="297"/>
      <c r="DSI264" s="297"/>
      <c r="DSJ264" s="297"/>
      <c r="DSK264" s="297"/>
      <c r="DSL264" s="297"/>
      <c r="DSM264" s="297"/>
      <c r="DSN264" s="297"/>
      <c r="DSO264" s="297"/>
      <c r="DSP264" s="297"/>
      <c r="DSQ264" s="297"/>
      <c r="DSR264" s="297"/>
      <c r="DSS264" s="297"/>
      <c r="DST264" s="297"/>
      <c r="DSU264" s="297"/>
      <c r="DSV264" s="297"/>
      <c r="DSW264" s="297"/>
      <c r="DSX264" s="297"/>
      <c r="DSY264" s="297"/>
      <c r="DSZ264" s="297"/>
      <c r="DTA264" s="297"/>
      <c r="DTB264" s="297"/>
      <c r="DTC264" s="297"/>
      <c r="DTD264" s="297"/>
      <c r="DTE264" s="297"/>
      <c r="DTF264" s="297"/>
      <c r="DTG264" s="297"/>
      <c r="DTH264" s="297"/>
      <c r="DTI264" s="297"/>
      <c r="DTJ264" s="297"/>
      <c r="DTK264" s="297"/>
      <c r="DTL264" s="297"/>
      <c r="DTM264" s="297"/>
      <c r="DTN264" s="297"/>
      <c r="DTO264" s="297"/>
      <c r="DTP264" s="297"/>
      <c r="DTQ264" s="297"/>
      <c r="DTR264" s="297"/>
      <c r="DTS264" s="297"/>
      <c r="DTT264" s="297"/>
      <c r="DTU264" s="297"/>
      <c r="DTV264" s="297"/>
      <c r="DTW264" s="297"/>
      <c r="DTX264" s="297"/>
      <c r="DTY264" s="297"/>
      <c r="DTZ264" s="297"/>
      <c r="DUA264" s="297"/>
      <c r="DUB264" s="297"/>
      <c r="DUC264" s="297"/>
      <c r="DUD264" s="297"/>
      <c r="DUE264" s="297"/>
      <c r="DUF264" s="297"/>
      <c r="DUG264" s="297"/>
      <c r="DUH264" s="297"/>
      <c r="DUI264" s="297"/>
      <c r="DUJ264" s="297"/>
      <c r="DUK264" s="297"/>
      <c r="DUL264" s="297"/>
      <c r="DUM264" s="297"/>
      <c r="DUN264" s="297"/>
      <c r="DUO264" s="297"/>
      <c r="DUP264" s="297"/>
      <c r="DUQ264" s="297"/>
      <c r="DUR264" s="297"/>
      <c r="DUS264" s="297"/>
      <c r="DUT264" s="297"/>
      <c r="DUU264" s="297"/>
      <c r="DUV264" s="297"/>
      <c r="DUW264" s="297"/>
      <c r="DUX264" s="297"/>
      <c r="DUY264" s="297"/>
      <c r="DUZ264" s="297"/>
      <c r="DVA264" s="297"/>
      <c r="DVB264" s="297"/>
      <c r="DVC264" s="297"/>
      <c r="DVD264" s="297"/>
      <c r="DVE264" s="297"/>
      <c r="DVF264" s="297"/>
      <c r="DVG264" s="297"/>
      <c r="DVH264" s="297"/>
      <c r="DVI264" s="297"/>
      <c r="DVJ264" s="297"/>
      <c r="DVK264" s="297"/>
      <c r="DVL264" s="297"/>
      <c r="DVM264" s="297"/>
      <c r="DVN264" s="297"/>
      <c r="DVO264" s="297"/>
      <c r="DVP264" s="297"/>
      <c r="DVQ264" s="297"/>
      <c r="DVR264" s="297"/>
      <c r="DVS264" s="297"/>
      <c r="DVT264" s="297"/>
      <c r="DVU264" s="297"/>
      <c r="DVV264" s="297"/>
      <c r="DVW264" s="297"/>
      <c r="DVX264" s="297"/>
      <c r="DVY264" s="297"/>
      <c r="DVZ264" s="297"/>
      <c r="DWA264" s="297"/>
      <c r="DWB264" s="297"/>
      <c r="DWC264" s="297"/>
      <c r="DWD264" s="297"/>
      <c r="DWE264" s="297"/>
      <c r="DWF264" s="297"/>
      <c r="DWG264" s="297"/>
      <c r="DWH264" s="297"/>
      <c r="DWI264" s="297"/>
      <c r="DWJ264" s="297"/>
      <c r="DWK264" s="297"/>
      <c r="DWL264" s="297"/>
      <c r="DWM264" s="297"/>
      <c r="DWN264" s="297"/>
      <c r="DWO264" s="297"/>
      <c r="DWP264" s="297"/>
      <c r="DWQ264" s="297"/>
      <c r="DWR264" s="297"/>
      <c r="DWS264" s="297"/>
      <c r="DWT264" s="297"/>
      <c r="DWU264" s="297"/>
      <c r="DWV264" s="297"/>
      <c r="DWW264" s="297"/>
      <c r="DWX264" s="297"/>
      <c r="DWY264" s="297"/>
      <c r="DWZ264" s="297"/>
      <c r="DXA264" s="297"/>
      <c r="DXB264" s="297"/>
      <c r="DXC264" s="297"/>
      <c r="DXD264" s="297"/>
      <c r="DXE264" s="297"/>
      <c r="DXF264" s="297"/>
      <c r="DXG264" s="297"/>
      <c r="DXH264" s="297"/>
      <c r="DXI264" s="297"/>
      <c r="DXJ264" s="297"/>
      <c r="DXK264" s="297"/>
      <c r="DXL264" s="297"/>
      <c r="DXM264" s="297"/>
      <c r="DXN264" s="297"/>
      <c r="DXO264" s="297"/>
      <c r="DXP264" s="297"/>
      <c r="DXQ264" s="297"/>
      <c r="DXR264" s="297"/>
      <c r="DXS264" s="297"/>
      <c r="DXT264" s="297"/>
      <c r="DXU264" s="297"/>
      <c r="DXV264" s="297"/>
      <c r="DXW264" s="297"/>
      <c r="DXX264" s="297"/>
      <c r="DXY264" s="297"/>
      <c r="DXZ264" s="297"/>
      <c r="DYA264" s="297"/>
      <c r="DYB264" s="297"/>
      <c r="DYC264" s="297"/>
      <c r="DYD264" s="297"/>
      <c r="DYE264" s="297"/>
      <c r="DYF264" s="297"/>
      <c r="DYG264" s="297"/>
      <c r="DYH264" s="297"/>
      <c r="DYI264" s="297"/>
      <c r="DYJ264" s="297"/>
      <c r="DYK264" s="297"/>
      <c r="DYL264" s="297"/>
      <c r="DYM264" s="297"/>
      <c r="DYN264" s="297"/>
      <c r="DYO264" s="297"/>
      <c r="DYP264" s="297"/>
      <c r="DYQ264" s="297"/>
      <c r="DYR264" s="297"/>
      <c r="DYS264" s="297"/>
      <c r="DYT264" s="297"/>
      <c r="DYU264" s="297"/>
      <c r="DYV264" s="297"/>
      <c r="DYW264" s="297"/>
      <c r="DYX264" s="297"/>
      <c r="DYY264" s="297"/>
      <c r="DYZ264" s="297"/>
      <c r="DZA264" s="297"/>
      <c r="DZB264" s="297"/>
      <c r="DZC264" s="297"/>
      <c r="DZD264" s="297"/>
      <c r="DZE264" s="297"/>
      <c r="DZF264" s="297"/>
      <c r="DZG264" s="297"/>
      <c r="DZH264" s="297"/>
      <c r="DZI264" s="297"/>
      <c r="DZJ264" s="297"/>
      <c r="DZK264" s="297"/>
      <c r="DZL264" s="297"/>
      <c r="DZM264" s="297"/>
      <c r="DZN264" s="297"/>
      <c r="DZO264" s="297"/>
      <c r="DZP264" s="297"/>
      <c r="DZQ264" s="297"/>
      <c r="DZR264" s="297"/>
      <c r="DZS264" s="297"/>
      <c r="DZT264" s="297"/>
      <c r="DZU264" s="297"/>
      <c r="DZV264" s="297"/>
      <c r="DZW264" s="297"/>
      <c r="DZX264" s="297"/>
      <c r="DZY264" s="297"/>
      <c r="DZZ264" s="297"/>
      <c r="EAA264" s="297"/>
      <c r="EAB264" s="297"/>
      <c r="EAC264" s="297"/>
      <c r="EAD264" s="297"/>
      <c r="EAE264" s="297"/>
      <c r="EAF264" s="297"/>
      <c r="EAG264" s="297"/>
      <c r="EAH264" s="297"/>
      <c r="EAI264" s="297"/>
      <c r="EAJ264" s="297"/>
      <c r="EAK264" s="297"/>
      <c r="EAL264" s="297"/>
      <c r="EAM264" s="297"/>
      <c r="EAN264" s="297"/>
      <c r="EAO264" s="297"/>
      <c r="EAP264" s="297"/>
      <c r="EAQ264" s="297"/>
      <c r="EAR264" s="297"/>
      <c r="EAS264" s="297"/>
      <c r="EAT264" s="297"/>
      <c r="EAU264" s="297"/>
      <c r="EAV264" s="297"/>
      <c r="EAW264" s="297"/>
      <c r="EAX264" s="297"/>
      <c r="EAY264" s="297"/>
      <c r="EAZ264" s="297"/>
      <c r="EBA264" s="297"/>
      <c r="EBB264" s="297"/>
      <c r="EBC264" s="297"/>
      <c r="EBD264" s="297"/>
      <c r="EBE264" s="297"/>
      <c r="EBF264" s="297"/>
      <c r="EBG264" s="297"/>
      <c r="EBH264" s="297"/>
      <c r="EBI264" s="297"/>
      <c r="EBJ264" s="297"/>
      <c r="EBK264" s="297"/>
      <c r="EBL264" s="297"/>
      <c r="EBM264" s="297"/>
      <c r="EBN264" s="297"/>
      <c r="EBO264" s="297"/>
      <c r="EBP264" s="297"/>
      <c r="EBQ264" s="297"/>
      <c r="EBR264" s="297"/>
      <c r="EBS264" s="297"/>
      <c r="EBT264" s="297"/>
      <c r="EBU264" s="297"/>
      <c r="EBV264" s="297"/>
      <c r="EBW264" s="297"/>
      <c r="EBX264" s="297"/>
      <c r="EBY264" s="297"/>
      <c r="EBZ264" s="297"/>
      <c r="ECA264" s="297"/>
      <c r="ECB264" s="297"/>
      <c r="ECC264" s="297"/>
      <c r="ECD264" s="297"/>
      <c r="ECE264" s="297"/>
      <c r="ECF264" s="297"/>
      <c r="ECG264" s="297"/>
      <c r="ECH264" s="297"/>
      <c r="ECI264" s="297"/>
      <c r="ECJ264" s="297"/>
      <c r="ECK264" s="297"/>
      <c r="ECL264" s="297"/>
      <c r="ECM264" s="297"/>
      <c r="ECN264" s="297"/>
      <c r="ECO264" s="297"/>
      <c r="ECP264" s="297"/>
      <c r="ECQ264" s="297"/>
      <c r="ECR264" s="297"/>
      <c r="ECS264" s="297"/>
      <c r="ECT264" s="297"/>
      <c r="ECU264" s="297"/>
      <c r="ECV264" s="297"/>
      <c r="ECW264" s="297"/>
      <c r="ECX264" s="297"/>
      <c r="ECY264" s="297"/>
      <c r="ECZ264" s="297"/>
      <c r="EDA264" s="297"/>
      <c r="EDB264" s="297"/>
      <c r="EDC264" s="297"/>
      <c r="EDD264" s="297"/>
      <c r="EDE264" s="297"/>
      <c r="EDF264" s="297"/>
      <c r="EDG264" s="297"/>
      <c r="EDH264" s="297"/>
      <c r="EDI264" s="297"/>
      <c r="EDJ264" s="297"/>
      <c r="EDK264" s="297"/>
      <c r="EDL264" s="297"/>
      <c r="EDM264" s="297"/>
      <c r="EDN264" s="297"/>
      <c r="EDO264" s="297"/>
      <c r="EDP264" s="297"/>
      <c r="EDQ264" s="297"/>
      <c r="EDR264" s="297"/>
      <c r="EDS264" s="297"/>
      <c r="EDT264" s="297"/>
      <c r="EDU264" s="297"/>
      <c r="EDV264" s="297"/>
      <c r="EDW264" s="297"/>
      <c r="EDX264" s="297"/>
      <c r="EDY264" s="297"/>
      <c r="EDZ264" s="297"/>
      <c r="EEA264" s="297"/>
      <c r="EEB264" s="297"/>
      <c r="EEC264" s="297"/>
      <c r="EED264" s="297"/>
      <c r="EEE264" s="297"/>
      <c r="EEF264" s="297"/>
      <c r="EEG264" s="297"/>
      <c r="EEH264" s="297"/>
      <c r="EEI264" s="297"/>
      <c r="EEJ264" s="297"/>
      <c r="EEK264" s="297"/>
      <c r="EEL264" s="297"/>
      <c r="EEM264" s="297"/>
      <c r="EEN264" s="297"/>
      <c r="EEO264" s="297"/>
      <c r="EEP264" s="297"/>
      <c r="EEQ264" s="297"/>
      <c r="EER264" s="297"/>
      <c r="EES264" s="297"/>
      <c r="EET264" s="297"/>
      <c r="EEU264" s="297"/>
      <c r="EEV264" s="297"/>
      <c r="EEW264" s="297"/>
      <c r="EEX264" s="297"/>
      <c r="EEY264" s="297"/>
      <c r="EEZ264" s="297"/>
      <c r="EFA264" s="297"/>
      <c r="EFB264" s="297"/>
      <c r="EFC264" s="297"/>
      <c r="EFD264" s="297"/>
      <c r="EFE264" s="297"/>
      <c r="EFF264" s="297"/>
      <c r="EFG264" s="297"/>
      <c r="EFH264" s="297"/>
      <c r="EFI264" s="297"/>
      <c r="EFJ264" s="297"/>
      <c r="EFK264" s="297"/>
      <c r="EFL264" s="297"/>
      <c r="EFM264" s="297"/>
      <c r="EFN264" s="297"/>
      <c r="EFO264" s="297"/>
      <c r="EFP264" s="297"/>
      <c r="EFQ264" s="297"/>
      <c r="EFR264" s="297"/>
      <c r="EFS264" s="297"/>
      <c r="EFT264" s="297"/>
      <c r="EFU264" s="297"/>
      <c r="EFV264" s="297"/>
      <c r="EFW264" s="297"/>
      <c r="EFX264" s="297"/>
      <c r="EFY264" s="297"/>
      <c r="EFZ264" s="297"/>
      <c r="EGA264" s="297"/>
      <c r="EGB264" s="297"/>
      <c r="EGC264" s="297"/>
      <c r="EGD264" s="297"/>
      <c r="EGE264" s="297"/>
      <c r="EGF264" s="297"/>
      <c r="EGG264" s="297"/>
      <c r="EGH264" s="297"/>
      <c r="EGI264" s="297"/>
      <c r="EGJ264" s="297"/>
      <c r="EGK264" s="297"/>
      <c r="EGL264" s="297"/>
      <c r="EGM264" s="297"/>
      <c r="EGN264" s="297"/>
      <c r="EGO264" s="297"/>
      <c r="EGP264" s="297"/>
      <c r="EGQ264" s="297"/>
      <c r="EGR264" s="297"/>
      <c r="EGS264" s="297"/>
      <c r="EGT264" s="297"/>
      <c r="EGU264" s="297"/>
      <c r="EGV264" s="297"/>
      <c r="EGW264" s="297"/>
      <c r="EGX264" s="297"/>
      <c r="EGY264" s="297"/>
      <c r="EGZ264" s="297"/>
      <c r="EHA264" s="297"/>
      <c r="EHB264" s="297"/>
      <c r="EHC264" s="297"/>
      <c r="EHD264" s="297"/>
      <c r="EHE264" s="297"/>
      <c r="EHF264" s="297"/>
      <c r="EHG264" s="297"/>
      <c r="EHH264" s="297"/>
      <c r="EHI264" s="297"/>
      <c r="EHJ264" s="297"/>
      <c r="EHK264" s="297"/>
      <c r="EHL264" s="297"/>
      <c r="EHM264" s="297"/>
      <c r="EHN264" s="297"/>
      <c r="EHO264" s="297"/>
      <c r="EHP264" s="297"/>
      <c r="EHQ264" s="297"/>
      <c r="EHR264" s="297"/>
      <c r="EHS264" s="297"/>
      <c r="EHT264" s="297"/>
      <c r="EHU264" s="297"/>
      <c r="EHV264" s="297"/>
      <c r="EHW264" s="297"/>
      <c r="EHX264" s="297"/>
      <c r="EHY264" s="297"/>
      <c r="EHZ264" s="297"/>
      <c r="EIA264" s="297"/>
      <c r="EIB264" s="297"/>
      <c r="EIC264" s="297"/>
      <c r="EID264" s="297"/>
      <c r="EIE264" s="297"/>
      <c r="EIF264" s="297"/>
      <c r="EIG264" s="297"/>
      <c r="EIH264" s="297"/>
      <c r="EII264" s="297"/>
      <c r="EIJ264" s="297"/>
      <c r="EIK264" s="297"/>
      <c r="EIL264" s="297"/>
      <c r="EIM264" s="297"/>
      <c r="EIN264" s="297"/>
      <c r="EIO264" s="297"/>
      <c r="EIP264" s="297"/>
      <c r="EIQ264" s="297"/>
      <c r="EIR264" s="297"/>
      <c r="EIS264" s="297"/>
      <c r="EIT264" s="297"/>
      <c r="EIU264" s="297"/>
      <c r="EIV264" s="297"/>
      <c r="EIW264" s="297"/>
      <c r="EIX264" s="297"/>
      <c r="EIY264" s="297"/>
      <c r="EIZ264" s="297"/>
      <c r="EJA264" s="297"/>
      <c r="EJB264" s="297"/>
      <c r="EJC264" s="297"/>
      <c r="EJD264" s="297"/>
      <c r="EJE264" s="297"/>
      <c r="EJF264" s="297"/>
      <c r="EJG264" s="297"/>
      <c r="EJH264" s="297"/>
      <c r="EJI264" s="297"/>
      <c r="EJJ264" s="297"/>
      <c r="EJK264" s="297"/>
      <c r="EJL264" s="297"/>
      <c r="EJM264" s="297"/>
      <c r="EJN264" s="297"/>
      <c r="EJO264" s="297"/>
      <c r="EJP264" s="297"/>
      <c r="EJQ264" s="297"/>
      <c r="EJR264" s="297"/>
      <c r="EJS264" s="297"/>
      <c r="EJT264" s="297"/>
      <c r="EJU264" s="297"/>
      <c r="EJV264" s="297"/>
      <c r="EJW264" s="297"/>
      <c r="EJX264" s="297"/>
      <c r="EJY264" s="297"/>
      <c r="EJZ264" s="297"/>
      <c r="EKA264" s="297"/>
      <c r="EKB264" s="297"/>
      <c r="EKC264" s="297"/>
      <c r="EKD264" s="297"/>
      <c r="EKE264" s="297"/>
      <c r="EKF264" s="297"/>
      <c r="EKG264" s="297"/>
      <c r="EKH264" s="297"/>
      <c r="EKI264" s="297"/>
      <c r="EKJ264" s="297"/>
      <c r="EKK264" s="297"/>
      <c r="EKL264" s="297"/>
      <c r="EKM264" s="297"/>
      <c r="EKN264" s="297"/>
      <c r="EKO264" s="297"/>
      <c r="EKP264" s="297"/>
      <c r="EKQ264" s="297"/>
      <c r="EKR264" s="297"/>
      <c r="EKS264" s="297"/>
      <c r="EKT264" s="297"/>
      <c r="EKU264" s="297"/>
      <c r="EKV264" s="297"/>
      <c r="EKW264" s="297"/>
      <c r="EKX264" s="297"/>
      <c r="EKY264" s="297"/>
      <c r="EKZ264" s="297"/>
      <c r="ELA264" s="297"/>
      <c r="ELB264" s="297"/>
      <c r="ELC264" s="297"/>
      <c r="ELD264" s="297"/>
      <c r="ELE264" s="297"/>
      <c r="ELF264" s="297"/>
      <c r="ELG264" s="297"/>
      <c r="ELH264" s="297"/>
      <c r="ELI264" s="297"/>
      <c r="ELJ264" s="297"/>
      <c r="ELK264" s="297"/>
      <c r="ELL264" s="297"/>
      <c r="ELM264" s="297"/>
      <c r="ELN264" s="297"/>
      <c r="ELO264" s="297"/>
      <c r="ELP264" s="297"/>
      <c r="ELQ264" s="297"/>
      <c r="ELR264" s="297"/>
      <c r="ELS264" s="297"/>
      <c r="ELT264" s="297"/>
      <c r="ELU264" s="297"/>
      <c r="ELV264" s="297"/>
      <c r="ELW264" s="297"/>
      <c r="ELX264" s="297"/>
      <c r="ELY264" s="297"/>
      <c r="ELZ264" s="297"/>
      <c r="EMA264" s="297"/>
      <c r="EMB264" s="297"/>
      <c r="EMC264" s="297"/>
      <c r="EMD264" s="297"/>
      <c r="EME264" s="297"/>
      <c r="EMF264" s="297"/>
      <c r="EMG264" s="297"/>
      <c r="EMH264" s="297"/>
      <c r="EMI264" s="297"/>
      <c r="EMJ264" s="297"/>
      <c r="EMK264" s="297"/>
      <c r="EML264" s="297"/>
      <c r="EMM264" s="297"/>
      <c r="EMN264" s="297"/>
      <c r="EMO264" s="297"/>
      <c r="EMP264" s="297"/>
      <c r="EMQ264" s="297"/>
      <c r="EMR264" s="297"/>
      <c r="EMS264" s="297"/>
      <c r="EMT264" s="297"/>
      <c r="EMU264" s="297"/>
      <c r="EMV264" s="297"/>
      <c r="EMW264" s="297"/>
      <c r="EMX264" s="297"/>
      <c r="EMY264" s="297"/>
      <c r="EMZ264" s="297"/>
      <c r="ENA264" s="297"/>
      <c r="ENB264" s="297"/>
      <c r="ENC264" s="297"/>
      <c r="END264" s="297"/>
      <c r="ENE264" s="297"/>
      <c r="ENF264" s="297"/>
      <c r="ENG264" s="297"/>
      <c r="ENH264" s="297"/>
      <c r="ENI264" s="297"/>
      <c r="ENJ264" s="297"/>
      <c r="ENK264" s="297"/>
      <c r="ENL264" s="297"/>
      <c r="ENM264" s="297"/>
      <c r="ENN264" s="297"/>
      <c r="ENO264" s="297"/>
      <c r="ENP264" s="297"/>
      <c r="ENQ264" s="297"/>
      <c r="ENR264" s="297"/>
      <c r="ENS264" s="297"/>
      <c r="ENT264" s="297"/>
      <c r="ENU264" s="297"/>
      <c r="ENV264" s="297"/>
      <c r="ENW264" s="297"/>
      <c r="ENX264" s="297"/>
      <c r="ENY264" s="297"/>
      <c r="ENZ264" s="297"/>
      <c r="EOA264" s="297"/>
      <c r="EOB264" s="297"/>
      <c r="EOC264" s="297"/>
      <c r="EOD264" s="297"/>
      <c r="EOE264" s="297"/>
      <c r="EOF264" s="297"/>
      <c r="EOG264" s="297"/>
      <c r="EOH264" s="297"/>
      <c r="EOI264" s="297"/>
      <c r="EOJ264" s="297"/>
      <c r="EOK264" s="297"/>
      <c r="EOL264" s="297"/>
      <c r="EOM264" s="297"/>
      <c r="EON264" s="297"/>
      <c r="EOO264" s="297"/>
      <c r="EOP264" s="297"/>
      <c r="EOQ264" s="297"/>
      <c r="EOR264" s="297"/>
      <c r="EOS264" s="297"/>
      <c r="EOT264" s="297"/>
      <c r="EOU264" s="297"/>
      <c r="EOV264" s="297"/>
      <c r="EOW264" s="297"/>
      <c r="EOX264" s="297"/>
      <c r="EOY264" s="297"/>
      <c r="EOZ264" s="297"/>
      <c r="EPA264" s="297"/>
      <c r="EPB264" s="297"/>
      <c r="EPC264" s="297"/>
      <c r="EPD264" s="297"/>
      <c r="EPE264" s="297"/>
      <c r="EPF264" s="297"/>
      <c r="EPG264" s="297"/>
      <c r="EPH264" s="297"/>
      <c r="EPI264" s="297"/>
      <c r="EPJ264" s="297"/>
      <c r="EPK264" s="297"/>
      <c r="EPL264" s="297"/>
      <c r="EPM264" s="297"/>
      <c r="EPN264" s="297"/>
      <c r="EPO264" s="297"/>
      <c r="EPP264" s="297"/>
      <c r="EPQ264" s="297"/>
      <c r="EPR264" s="297"/>
      <c r="EPS264" s="297"/>
      <c r="EPT264" s="297"/>
      <c r="EPU264" s="297"/>
      <c r="EPV264" s="297"/>
      <c r="EPW264" s="297"/>
      <c r="EPX264" s="297"/>
      <c r="EPY264" s="297"/>
      <c r="EPZ264" s="297"/>
      <c r="EQA264" s="297"/>
      <c r="EQB264" s="297"/>
      <c r="EQC264" s="297"/>
      <c r="EQD264" s="297"/>
      <c r="EQE264" s="297"/>
      <c r="EQF264" s="297"/>
      <c r="EQG264" s="297"/>
      <c r="EQH264" s="297"/>
      <c r="EQI264" s="297"/>
      <c r="EQJ264" s="297"/>
      <c r="EQK264" s="297"/>
      <c r="EQL264" s="297"/>
      <c r="EQM264" s="297"/>
      <c r="EQN264" s="297"/>
      <c r="EQO264" s="297"/>
      <c r="EQP264" s="297"/>
      <c r="EQQ264" s="297"/>
      <c r="EQR264" s="297"/>
      <c r="EQS264" s="297"/>
      <c r="EQT264" s="297"/>
      <c r="EQU264" s="297"/>
      <c r="EQV264" s="297"/>
      <c r="EQW264" s="297"/>
      <c r="EQX264" s="297"/>
      <c r="EQY264" s="297"/>
      <c r="EQZ264" s="297"/>
      <c r="ERA264" s="297"/>
      <c r="ERB264" s="297"/>
      <c r="ERC264" s="297"/>
      <c r="ERD264" s="297"/>
      <c r="ERE264" s="297"/>
      <c r="ERF264" s="297"/>
      <c r="ERG264" s="297"/>
      <c r="ERH264" s="297"/>
      <c r="ERI264" s="297"/>
      <c r="ERJ264" s="297"/>
      <c r="ERK264" s="297"/>
      <c r="ERL264" s="297"/>
      <c r="ERM264" s="297"/>
      <c r="ERN264" s="297"/>
      <c r="ERO264" s="297"/>
      <c r="ERP264" s="297"/>
      <c r="ERQ264" s="297"/>
      <c r="ERR264" s="297"/>
      <c r="ERS264" s="297"/>
      <c r="ERT264" s="297"/>
      <c r="ERU264" s="297"/>
      <c r="ERV264" s="297"/>
      <c r="ERW264" s="297"/>
      <c r="ERX264" s="297"/>
      <c r="ERY264" s="297"/>
      <c r="ERZ264" s="297"/>
      <c r="ESA264" s="297"/>
      <c r="ESB264" s="297"/>
      <c r="ESC264" s="297"/>
      <c r="ESD264" s="297"/>
      <c r="ESE264" s="297"/>
      <c r="ESF264" s="297"/>
      <c r="ESG264" s="297"/>
      <c r="ESH264" s="297"/>
      <c r="ESI264" s="297"/>
      <c r="ESJ264" s="297"/>
      <c r="ESK264" s="297"/>
      <c r="ESL264" s="297"/>
      <c r="ESM264" s="297"/>
      <c r="ESN264" s="297"/>
      <c r="ESO264" s="297"/>
      <c r="ESP264" s="297"/>
      <c r="ESQ264" s="297"/>
      <c r="ESR264" s="297"/>
      <c r="ESS264" s="297"/>
      <c r="EST264" s="297"/>
      <c r="ESU264" s="297"/>
      <c r="ESV264" s="297"/>
      <c r="ESW264" s="297"/>
      <c r="ESX264" s="297"/>
      <c r="ESY264" s="297"/>
      <c r="ESZ264" s="297"/>
      <c r="ETA264" s="297"/>
      <c r="ETB264" s="297"/>
      <c r="ETC264" s="297"/>
      <c r="ETD264" s="297"/>
      <c r="ETE264" s="297"/>
      <c r="ETF264" s="297"/>
      <c r="ETG264" s="297"/>
      <c r="ETH264" s="297"/>
      <c r="ETI264" s="297"/>
      <c r="ETJ264" s="297"/>
      <c r="ETK264" s="297"/>
      <c r="ETL264" s="297"/>
      <c r="ETM264" s="297"/>
      <c r="ETN264" s="297"/>
      <c r="ETO264" s="297"/>
      <c r="ETP264" s="297"/>
      <c r="ETQ264" s="297"/>
      <c r="ETR264" s="297"/>
      <c r="ETS264" s="297"/>
      <c r="ETT264" s="297"/>
      <c r="ETU264" s="297"/>
      <c r="ETV264" s="297"/>
      <c r="ETW264" s="297"/>
      <c r="ETX264" s="297"/>
      <c r="ETY264" s="297"/>
      <c r="ETZ264" s="297"/>
      <c r="EUA264" s="297"/>
      <c r="EUB264" s="297"/>
      <c r="EUC264" s="297"/>
      <c r="EUD264" s="297"/>
      <c r="EUE264" s="297"/>
      <c r="EUF264" s="297"/>
      <c r="EUG264" s="297"/>
      <c r="EUH264" s="297"/>
      <c r="EUI264" s="297"/>
      <c r="EUJ264" s="297"/>
      <c r="EUK264" s="297"/>
      <c r="EUL264" s="297"/>
      <c r="EUM264" s="297"/>
      <c r="EUN264" s="297"/>
      <c r="EUO264" s="297"/>
      <c r="EUP264" s="297"/>
      <c r="EUQ264" s="297"/>
      <c r="EUR264" s="297"/>
      <c r="EUS264" s="297"/>
      <c r="EUT264" s="297"/>
      <c r="EUU264" s="297"/>
      <c r="EUV264" s="297"/>
      <c r="EUW264" s="297"/>
      <c r="EUX264" s="297"/>
      <c r="EUY264" s="297"/>
      <c r="EUZ264" s="297"/>
      <c r="EVA264" s="297"/>
      <c r="EVB264" s="297"/>
      <c r="EVC264" s="297"/>
      <c r="EVD264" s="297"/>
      <c r="EVE264" s="297"/>
      <c r="EVF264" s="297"/>
      <c r="EVG264" s="297"/>
      <c r="EVH264" s="297"/>
      <c r="EVI264" s="297"/>
      <c r="EVJ264" s="297"/>
      <c r="EVK264" s="297"/>
      <c r="EVL264" s="297"/>
      <c r="EVM264" s="297"/>
      <c r="EVN264" s="297"/>
      <c r="EVO264" s="297"/>
      <c r="EVP264" s="297"/>
      <c r="EVQ264" s="297"/>
      <c r="EVR264" s="297"/>
      <c r="EVS264" s="297"/>
      <c r="EVT264" s="297"/>
      <c r="EVU264" s="297"/>
      <c r="EVV264" s="297"/>
      <c r="EVW264" s="297"/>
      <c r="EVX264" s="297"/>
      <c r="EVY264" s="297"/>
      <c r="EVZ264" s="297"/>
      <c r="EWA264" s="297"/>
      <c r="EWB264" s="297"/>
      <c r="EWC264" s="297"/>
      <c r="EWD264" s="297"/>
      <c r="EWE264" s="297"/>
      <c r="EWF264" s="297"/>
      <c r="EWG264" s="297"/>
      <c r="EWH264" s="297"/>
      <c r="EWI264" s="297"/>
      <c r="EWJ264" s="297"/>
      <c r="EWK264" s="297"/>
      <c r="EWL264" s="297"/>
      <c r="EWM264" s="297"/>
      <c r="EWN264" s="297"/>
      <c r="EWO264" s="297"/>
      <c r="EWP264" s="297"/>
      <c r="EWQ264" s="297"/>
      <c r="EWR264" s="297"/>
      <c r="EWS264" s="297"/>
      <c r="EWT264" s="297"/>
      <c r="EWU264" s="297"/>
      <c r="EWV264" s="297"/>
      <c r="EWW264" s="297"/>
      <c r="EWX264" s="297"/>
      <c r="EWY264" s="297"/>
      <c r="EWZ264" s="297"/>
      <c r="EXA264" s="297"/>
      <c r="EXB264" s="297"/>
      <c r="EXC264" s="297"/>
      <c r="EXD264" s="297"/>
      <c r="EXE264" s="297"/>
      <c r="EXF264" s="297"/>
      <c r="EXG264" s="297"/>
      <c r="EXH264" s="297"/>
      <c r="EXI264" s="297"/>
      <c r="EXJ264" s="297"/>
      <c r="EXK264" s="297"/>
      <c r="EXL264" s="297"/>
      <c r="EXM264" s="297"/>
      <c r="EXN264" s="297"/>
      <c r="EXO264" s="297"/>
      <c r="EXP264" s="297"/>
      <c r="EXQ264" s="297"/>
      <c r="EXR264" s="297"/>
      <c r="EXS264" s="297"/>
      <c r="EXT264" s="297"/>
      <c r="EXU264" s="297"/>
      <c r="EXV264" s="297"/>
      <c r="EXW264" s="297"/>
      <c r="EXX264" s="297"/>
      <c r="EXY264" s="297"/>
      <c r="EXZ264" s="297"/>
      <c r="EYA264" s="297"/>
      <c r="EYB264" s="297"/>
      <c r="EYC264" s="297"/>
      <c r="EYD264" s="297"/>
      <c r="EYE264" s="297"/>
      <c r="EYF264" s="297"/>
      <c r="EYG264" s="297"/>
      <c r="EYH264" s="297"/>
      <c r="EYI264" s="297"/>
      <c r="EYJ264" s="297"/>
      <c r="EYK264" s="297"/>
      <c r="EYL264" s="297"/>
      <c r="EYM264" s="297"/>
      <c r="EYN264" s="297"/>
      <c r="EYO264" s="297"/>
      <c r="EYP264" s="297"/>
      <c r="EYQ264" s="297"/>
      <c r="EYR264" s="297"/>
      <c r="EYS264" s="297"/>
      <c r="EYT264" s="297"/>
      <c r="EYU264" s="297"/>
      <c r="EYV264" s="297"/>
      <c r="EYW264" s="297"/>
      <c r="EYX264" s="297"/>
      <c r="EYY264" s="297"/>
      <c r="EYZ264" s="297"/>
      <c r="EZA264" s="297"/>
      <c r="EZB264" s="297"/>
      <c r="EZC264" s="297"/>
      <c r="EZD264" s="297"/>
      <c r="EZE264" s="297"/>
      <c r="EZF264" s="297"/>
      <c r="EZG264" s="297"/>
      <c r="EZH264" s="297"/>
      <c r="EZI264" s="297"/>
      <c r="EZJ264" s="297"/>
      <c r="EZK264" s="297"/>
      <c r="EZL264" s="297"/>
      <c r="EZM264" s="297"/>
      <c r="EZN264" s="297"/>
      <c r="EZO264" s="297"/>
      <c r="EZP264" s="297"/>
      <c r="EZQ264" s="297"/>
      <c r="EZR264" s="297"/>
      <c r="EZS264" s="297"/>
      <c r="EZT264" s="297"/>
      <c r="EZU264" s="297"/>
      <c r="EZV264" s="297"/>
      <c r="EZW264" s="297"/>
      <c r="EZX264" s="297"/>
      <c r="EZY264" s="297"/>
      <c r="EZZ264" s="297"/>
      <c r="FAA264" s="297"/>
      <c r="FAB264" s="297"/>
      <c r="FAC264" s="297"/>
      <c r="FAD264" s="297"/>
      <c r="FAE264" s="297"/>
      <c r="FAF264" s="297"/>
      <c r="FAG264" s="297"/>
      <c r="FAH264" s="297"/>
      <c r="FAI264" s="297"/>
      <c r="FAJ264" s="297"/>
      <c r="FAK264" s="297"/>
      <c r="FAL264" s="297"/>
      <c r="FAM264" s="297"/>
      <c r="FAN264" s="297"/>
      <c r="FAO264" s="297"/>
      <c r="FAP264" s="297"/>
      <c r="FAQ264" s="297"/>
      <c r="FAR264" s="297"/>
      <c r="FAS264" s="297"/>
      <c r="FAT264" s="297"/>
      <c r="FAU264" s="297"/>
      <c r="FAV264" s="297"/>
      <c r="FAW264" s="297"/>
      <c r="FAX264" s="297"/>
      <c r="FAY264" s="297"/>
      <c r="FAZ264" s="297"/>
      <c r="FBA264" s="297"/>
      <c r="FBB264" s="297"/>
      <c r="FBC264" s="297"/>
      <c r="FBD264" s="297"/>
      <c r="FBE264" s="297"/>
      <c r="FBF264" s="297"/>
      <c r="FBG264" s="297"/>
      <c r="FBH264" s="297"/>
      <c r="FBI264" s="297"/>
      <c r="FBJ264" s="297"/>
      <c r="FBK264" s="297"/>
      <c r="FBL264" s="297"/>
      <c r="FBM264" s="297"/>
      <c r="FBN264" s="297"/>
      <c r="FBO264" s="297"/>
      <c r="FBP264" s="297"/>
      <c r="FBQ264" s="297"/>
      <c r="FBR264" s="297"/>
      <c r="FBS264" s="297"/>
      <c r="FBT264" s="297"/>
      <c r="FBU264" s="297"/>
      <c r="FBV264" s="297"/>
      <c r="FBW264" s="297"/>
      <c r="FBX264" s="297"/>
      <c r="FBY264" s="297"/>
      <c r="FBZ264" s="297"/>
      <c r="FCA264" s="297"/>
      <c r="FCB264" s="297"/>
      <c r="FCC264" s="297"/>
      <c r="FCD264" s="297"/>
      <c r="FCE264" s="297"/>
      <c r="FCF264" s="297"/>
      <c r="FCG264" s="297"/>
      <c r="FCH264" s="297"/>
      <c r="FCI264" s="297"/>
      <c r="FCJ264" s="297"/>
      <c r="FCK264" s="297"/>
      <c r="FCL264" s="297"/>
      <c r="FCM264" s="297"/>
      <c r="FCN264" s="297"/>
      <c r="FCO264" s="297"/>
      <c r="FCP264" s="297"/>
      <c r="FCQ264" s="297"/>
      <c r="FCR264" s="297"/>
      <c r="FCS264" s="297"/>
      <c r="FCT264" s="297"/>
      <c r="FCU264" s="297"/>
      <c r="FCV264" s="297"/>
      <c r="FCW264" s="297"/>
      <c r="FCX264" s="297"/>
      <c r="FCY264" s="297"/>
      <c r="FCZ264" s="297"/>
      <c r="FDA264" s="297"/>
      <c r="FDB264" s="297"/>
      <c r="FDC264" s="297"/>
      <c r="FDD264" s="297"/>
      <c r="FDE264" s="297"/>
      <c r="FDF264" s="297"/>
      <c r="FDG264" s="297"/>
      <c r="FDH264" s="297"/>
      <c r="FDI264" s="297"/>
      <c r="FDJ264" s="297"/>
      <c r="FDK264" s="297"/>
      <c r="FDL264" s="297"/>
      <c r="FDM264" s="297"/>
      <c r="FDN264" s="297"/>
      <c r="FDO264" s="297"/>
      <c r="FDP264" s="297"/>
      <c r="FDQ264" s="297"/>
      <c r="FDR264" s="297"/>
      <c r="FDS264" s="297"/>
      <c r="FDT264" s="297"/>
      <c r="FDU264" s="297"/>
      <c r="FDV264" s="297"/>
      <c r="FDW264" s="297"/>
      <c r="FDX264" s="297"/>
      <c r="FDY264" s="297"/>
      <c r="FDZ264" s="297"/>
      <c r="FEA264" s="297"/>
      <c r="FEB264" s="297"/>
      <c r="FEC264" s="297"/>
      <c r="FED264" s="297"/>
      <c r="FEE264" s="297"/>
      <c r="FEF264" s="297"/>
      <c r="FEG264" s="297"/>
      <c r="FEH264" s="297"/>
      <c r="FEI264" s="297"/>
      <c r="FEJ264" s="297"/>
      <c r="FEK264" s="297"/>
      <c r="FEL264" s="297"/>
      <c r="FEM264" s="297"/>
      <c r="FEN264" s="297"/>
      <c r="FEO264" s="297"/>
      <c r="FEP264" s="297"/>
      <c r="FEQ264" s="297"/>
      <c r="FER264" s="297"/>
      <c r="FES264" s="297"/>
      <c r="FET264" s="297"/>
      <c r="FEU264" s="297"/>
      <c r="FEV264" s="297"/>
      <c r="FEW264" s="297"/>
      <c r="FEX264" s="297"/>
      <c r="FEY264" s="297"/>
      <c r="FEZ264" s="297"/>
      <c r="FFA264" s="297"/>
      <c r="FFB264" s="297"/>
      <c r="FFC264" s="297"/>
      <c r="FFD264" s="297"/>
      <c r="FFE264" s="297"/>
      <c r="FFF264" s="297"/>
      <c r="FFG264" s="297"/>
      <c r="FFH264" s="297"/>
      <c r="FFI264" s="297"/>
      <c r="FFJ264" s="297"/>
      <c r="FFK264" s="297"/>
      <c r="FFL264" s="297"/>
      <c r="FFM264" s="297"/>
      <c r="FFN264" s="297"/>
      <c r="FFO264" s="297"/>
      <c r="FFP264" s="297"/>
      <c r="FFQ264" s="297"/>
      <c r="FFR264" s="297"/>
      <c r="FFS264" s="297"/>
      <c r="FFT264" s="297"/>
      <c r="FFU264" s="297"/>
      <c r="FFV264" s="297"/>
      <c r="FFW264" s="297"/>
      <c r="FFX264" s="297"/>
      <c r="FFY264" s="297"/>
      <c r="FFZ264" s="297"/>
      <c r="FGA264" s="297"/>
      <c r="FGB264" s="297"/>
      <c r="FGC264" s="297"/>
      <c r="FGD264" s="297"/>
      <c r="FGE264" s="297"/>
      <c r="FGF264" s="297"/>
      <c r="FGG264" s="297"/>
      <c r="FGH264" s="297"/>
      <c r="FGI264" s="297"/>
      <c r="FGJ264" s="297"/>
      <c r="FGK264" s="297"/>
      <c r="FGL264" s="297"/>
      <c r="FGM264" s="297"/>
      <c r="FGN264" s="297"/>
      <c r="FGO264" s="297"/>
      <c r="FGP264" s="297"/>
      <c r="FGQ264" s="297"/>
      <c r="FGR264" s="297"/>
      <c r="FGS264" s="297"/>
      <c r="FGT264" s="297"/>
      <c r="FGU264" s="297"/>
      <c r="FGV264" s="297"/>
      <c r="FGW264" s="297"/>
      <c r="FGX264" s="297"/>
      <c r="FGY264" s="297"/>
      <c r="FGZ264" s="297"/>
      <c r="FHA264" s="297"/>
      <c r="FHB264" s="297"/>
      <c r="FHC264" s="297"/>
      <c r="FHD264" s="297"/>
      <c r="FHE264" s="297"/>
      <c r="FHF264" s="297"/>
      <c r="FHG264" s="297"/>
      <c r="FHH264" s="297"/>
      <c r="FHI264" s="297"/>
      <c r="FHJ264" s="297"/>
      <c r="FHK264" s="297"/>
      <c r="FHL264" s="297"/>
      <c r="FHM264" s="297"/>
      <c r="FHN264" s="297"/>
      <c r="FHO264" s="297"/>
      <c r="FHP264" s="297"/>
      <c r="FHQ264" s="297"/>
      <c r="FHR264" s="297"/>
      <c r="FHS264" s="297"/>
      <c r="FHT264" s="297"/>
      <c r="FHU264" s="297"/>
      <c r="FHV264" s="297"/>
      <c r="FHW264" s="297"/>
      <c r="FHX264" s="297"/>
      <c r="FHY264" s="297"/>
      <c r="FHZ264" s="297"/>
      <c r="FIA264" s="297"/>
      <c r="FIB264" s="297"/>
      <c r="FIC264" s="297"/>
      <c r="FID264" s="297"/>
      <c r="FIE264" s="297"/>
      <c r="FIF264" s="297"/>
      <c r="FIG264" s="297"/>
      <c r="FIH264" s="297"/>
      <c r="FII264" s="297"/>
      <c r="FIJ264" s="297"/>
      <c r="FIK264" s="297"/>
      <c r="FIL264" s="297"/>
      <c r="FIM264" s="297"/>
      <c r="FIN264" s="297"/>
      <c r="FIO264" s="297"/>
      <c r="FIP264" s="297"/>
      <c r="FIQ264" s="297"/>
      <c r="FIR264" s="297"/>
      <c r="FIS264" s="297"/>
      <c r="FIT264" s="297"/>
      <c r="FIU264" s="297"/>
      <c r="FIV264" s="297"/>
      <c r="FIW264" s="297"/>
      <c r="FIX264" s="297"/>
      <c r="FIY264" s="297"/>
      <c r="FIZ264" s="297"/>
      <c r="FJA264" s="297"/>
      <c r="FJB264" s="297"/>
      <c r="FJC264" s="297"/>
      <c r="FJD264" s="297"/>
      <c r="FJE264" s="297"/>
      <c r="FJF264" s="297"/>
      <c r="FJG264" s="297"/>
      <c r="FJH264" s="297"/>
      <c r="FJI264" s="297"/>
      <c r="FJJ264" s="297"/>
      <c r="FJK264" s="297"/>
      <c r="FJL264" s="297"/>
      <c r="FJM264" s="297"/>
      <c r="FJN264" s="297"/>
      <c r="FJO264" s="297"/>
      <c r="FJP264" s="297"/>
      <c r="FJQ264" s="297"/>
      <c r="FJR264" s="297"/>
      <c r="FJS264" s="297"/>
      <c r="FJT264" s="297"/>
      <c r="FJU264" s="297"/>
      <c r="FJV264" s="297"/>
      <c r="FJW264" s="297"/>
      <c r="FJX264" s="297"/>
      <c r="FJY264" s="297"/>
      <c r="FJZ264" s="297"/>
      <c r="FKA264" s="297"/>
      <c r="FKB264" s="297"/>
      <c r="FKC264" s="297"/>
      <c r="FKD264" s="297"/>
      <c r="FKE264" s="297"/>
      <c r="FKF264" s="297"/>
      <c r="FKG264" s="297"/>
      <c r="FKH264" s="297"/>
      <c r="FKI264" s="297"/>
      <c r="FKJ264" s="297"/>
      <c r="FKK264" s="297"/>
      <c r="FKL264" s="297"/>
      <c r="FKM264" s="297"/>
      <c r="FKN264" s="297"/>
      <c r="FKO264" s="297"/>
      <c r="FKP264" s="297"/>
      <c r="FKQ264" s="297"/>
      <c r="FKR264" s="297"/>
      <c r="FKS264" s="297"/>
      <c r="FKT264" s="297"/>
      <c r="FKU264" s="297"/>
      <c r="FKV264" s="297"/>
      <c r="FKW264" s="297"/>
      <c r="FKX264" s="297"/>
      <c r="FKY264" s="297"/>
      <c r="FKZ264" s="297"/>
      <c r="FLA264" s="297"/>
      <c r="FLB264" s="297"/>
      <c r="FLC264" s="297"/>
      <c r="FLD264" s="297"/>
      <c r="FLE264" s="297"/>
      <c r="FLF264" s="297"/>
      <c r="FLG264" s="297"/>
      <c r="FLH264" s="297"/>
      <c r="FLI264" s="297"/>
      <c r="FLJ264" s="297"/>
      <c r="FLK264" s="297"/>
      <c r="FLL264" s="297"/>
      <c r="FLM264" s="297"/>
      <c r="FLN264" s="297"/>
      <c r="FLO264" s="297"/>
      <c r="FLP264" s="297"/>
      <c r="FLQ264" s="297"/>
      <c r="FLR264" s="297"/>
      <c r="FLS264" s="297"/>
      <c r="FLT264" s="297"/>
      <c r="FLU264" s="297"/>
      <c r="FLV264" s="297"/>
      <c r="FLW264" s="297"/>
      <c r="FLX264" s="297"/>
      <c r="FLY264" s="297"/>
      <c r="FLZ264" s="297"/>
      <c r="FMA264" s="297"/>
      <c r="FMB264" s="297"/>
      <c r="FMC264" s="297"/>
      <c r="FMD264" s="297"/>
      <c r="FME264" s="297"/>
      <c r="FMF264" s="297"/>
      <c r="FMG264" s="297"/>
      <c r="FMH264" s="297"/>
      <c r="FMI264" s="297"/>
      <c r="FMJ264" s="297"/>
      <c r="FMK264" s="297"/>
      <c r="FML264" s="297"/>
      <c r="FMM264" s="297"/>
      <c r="FMN264" s="297"/>
      <c r="FMO264" s="297"/>
      <c r="FMP264" s="297"/>
      <c r="FMQ264" s="297"/>
      <c r="FMR264" s="297"/>
      <c r="FMS264" s="297"/>
      <c r="FMT264" s="297"/>
      <c r="FMU264" s="297"/>
      <c r="FMV264" s="297"/>
      <c r="FMW264" s="297"/>
      <c r="FMX264" s="297"/>
      <c r="FMY264" s="297"/>
      <c r="FMZ264" s="297"/>
      <c r="FNA264" s="297"/>
      <c r="FNB264" s="297"/>
      <c r="FNC264" s="297"/>
      <c r="FND264" s="297"/>
      <c r="FNE264" s="297"/>
      <c r="FNF264" s="297"/>
      <c r="FNG264" s="297"/>
      <c r="FNH264" s="297"/>
      <c r="FNI264" s="297"/>
      <c r="FNJ264" s="297"/>
      <c r="FNK264" s="297"/>
      <c r="FNL264" s="297"/>
      <c r="FNM264" s="297"/>
      <c r="FNN264" s="297"/>
      <c r="FNO264" s="297"/>
      <c r="FNP264" s="297"/>
      <c r="FNQ264" s="297"/>
      <c r="FNR264" s="297"/>
      <c r="FNS264" s="297"/>
      <c r="FNT264" s="297"/>
      <c r="FNU264" s="297"/>
      <c r="FNV264" s="297"/>
      <c r="FNW264" s="297"/>
      <c r="FNX264" s="297"/>
      <c r="FNY264" s="297"/>
      <c r="FNZ264" s="297"/>
      <c r="FOA264" s="297"/>
      <c r="FOB264" s="297"/>
      <c r="FOC264" s="297"/>
      <c r="FOD264" s="297"/>
      <c r="FOE264" s="297"/>
      <c r="FOF264" s="297"/>
      <c r="FOG264" s="297"/>
      <c r="FOH264" s="297"/>
      <c r="FOI264" s="297"/>
      <c r="FOJ264" s="297"/>
      <c r="FOK264" s="297"/>
      <c r="FOL264" s="297"/>
      <c r="FOM264" s="297"/>
      <c r="FON264" s="297"/>
      <c r="FOO264" s="297"/>
      <c r="FOP264" s="297"/>
      <c r="FOQ264" s="297"/>
      <c r="FOR264" s="297"/>
      <c r="FOS264" s="297"/>
      <c r="FOT264" s="297"/>
      <c r="FOU264" s="297"/>
      <c r="FOV264" s="297"/>
      <c r="FOW264" s="297"/>
      <c r="FOX264" s="297"/>
      <c r="FOY264" s="297"/>
      <c r="FOZ264" s="297"/>
      <c r="FPA264" s="297"/>
      <c r="FPB264" s="297"/>
      <c r="FPC264" s="297"/>
      <c r="FPD264" s="297"/>
      <c r="FPE264" s="297"/>
      <c r="FPF264" s="297"/>
      <c r="FPG264" s="297"/>
      <c r="FPH264" s="297"/>
      <c r="FPI264" s="297"/>
      <c r="FPJ264" s="297"/>
      <c r="FPK264" s="297"/>
      <c r="FPL264" s="297"/>
      <c r="FPM264" s="297"/>
      <c r="FPN264" s="297"/>
      <c r="FPO264" s="297"/>
      <c r="FPP264" s="297"/>
      <c r="FPQ264" s="297"/>
      <c r="FPR264" s="297"/>
      <c r="FPS264" s="297"/>
      <c r="FPT264" s="297"/>
      <c r="FPU264" s="297"/>
      <c r="FPV264" s="297"/>
      <c r="FPW264" s="297"/>
      <c r="FPX264" s="297"/>
      <c r="FPY264" s="297"/>
      <c r="FPZ264" s="297"/>
      <c r="FQA264" s="297"/>
      <c r="FQB264" s="297"/>
      <c r="FQC264" s="297"/>
      <c r="FQD264" s="297"/>
      <c r="FQE264" s="297"/>
      <c r="FQF264" s="297"/>
      <c r="FQG264" s="297"/>
      <c r="FQH264" s="297"/>
      <c r="FQI264" s="297"/>
      <c r="FQJ264" s="297"/>
      <c r="FQK264" s="297"/>
      <c r="FQL264" s="297"/>
      <c r="FQM264" s="297"/>
      <c r="FQN264" s="297"/>
      <c r="FQO264" s="297"/>
      <c r="FQP264" s="297"/>
      <c r="FQQ264" s="297"/>
      <c r="FQR264" s="297"/>
      <c r="FQS264" s="297"/>
      <c r="FQT264" s="297"/>
      <c r="FQU264" s="297"/>
      <c r="FQV264" s="297"/>
      <c r="FQW264" s="297"/>
      <c r="FQX264" s="297"/>
      <c r="FQY264" s="297"/>
      <c r="FQZ264" s="297"/>
      <c r="FRA264" s="297"/>
      <c r="FRB264" s="297"/>
      <c r="FRC264" s="297"/>
      <c r="FRD264" s="297"/>
      <c r="FRE264" s="297"/>
      <c r="FRF264" s="297"/>
      <c r="FRG264" s="297"/>
      <c r="FRH264" s="297"/>
      <c r="FRI264" s="297"/>
      <c r="FRJ264" s="297"/>
      <c r="FRK264" s="297"/>
      <c r="FRL264" s="297"/>
      <c r="FRM264" s="297"/>
      <c r="FRN264" s="297"/>
      <c r="FRO264" s="297"/>
      <c r="FRP264" s="297"/>
      <c r="FRQ264" s="297"/>
      <c r="FRR264" s="297"/>
      <c r="FRS264" s="297"/>
      <c r="FRT264" s="297"/>
      <c r="FRU264" s="297"/>
      <c r="FRV264" s="297"/>
      <c r="FRW264" s="297"/>
      <c r="FRX264" s="297"/>
      <c r="FRY264" s="297"/>
      <c r="FRZ264" s="297"/>
      <c r="FSA264" s="297"/>
      <c r="FSB264" s="297"/>
      <c r="FSC264" s="297"/>
      <c r="FSD264" s="297"/>
      <c r="FSE264" s="297"/>
      <c r="FSF264" s="297"/>
      <c r="FSG264" s="297"/>
      <c r="FSH264" s="297"/>
      <c r="FSI264" s="297"/>
      <c r="FSJ264" s="297"/>
      <c r="FSK264" s="297"/>
      <c r="FSL264" s="297"/>
      <c r="FSM264" s="297"/>
      <c r="FSN264" s="297"/>
      <c r="FSO264" s="297"/>
      <c r="FSP264" s="297"/>
      <c r="FSQ264" s="297"/>
      <c r="FSR264" s="297"/>
      <c r="FSS264" s="297"/>
      <c r="FST264" s="297"/>
      <c r="FSU264" s="297"/>
      <c r="FSV264" s="297"/>
      <c r="FSW264" s="297"/>
      <c r="FSX264" s="297"/>
      <c r="FSY264" s="297"/>
      <c r="FSZ264" s="297"/>
      <c r="FTA264" s="297"/>
      <c r="FTB264" s="297"/>
      <c r="FTC264" s="297"/>
      <c r="FTD264" s="297"/>
      <c r="FTE264" s="297"/>
      <c r="FTF264" s="297"/>
      <c r="FTG264" s="297"/>
      <c r="FTH264" s="297"/>
      <c r="FTI264" s="297"/>
      <c r="FTJ264" s="297"/>
      <c r="FTK264" s="297"/>
      <c r="FTL264" s="297"/>
      <c r="FTM264" s="297"/>
      <c r="FTN264" s="297"/>
      <c r="FTO264" s="297"/>
      <c r="FTP264" s="297"/>
      <c r="FTQ264" s="297"/>
      <c r="FTR264" s="297"/>
      <c r="FTS264" s="297"/>
      <c r="FTT264" s="297"/>
      <c r="FTU264" s="297"/>
      <c r="FTV264" s="297"/>
      <c r="FTW264" s="297"/>
      <c r="FTX264" s="297"/>
      <c r="FTY264" s="297"/>
      <c r="FTZ264" s="297"/>
      <c r="FUA264" s="297"/>
      <c r="FUB264" s="297"/>
      <c r="FUC264" s="297"/>
      <c r="FUD264" s="297"/>
      <c r="FUE264" s="297"/>
      <c r="FUF264" s="297"/>
      <c r="FUG264" s="297"/>
      <c r="FUH264" s="297"/>
      <c r="FUI264" s="297"/>
      <c r="FUJ264" s="297"/>
      <c r="FUK264" s="297"/>
      <c r="FUL264" s="297"/>
      <c r="FUM264" s="297"/>
      <c r="FUN264" s="297"/>
      <c r="FUO264" s="297"/>
      <c r="FUP264" s="297"/>
      <c r="FUQ264" s="297"/>
      <c r="FUR264" s="297"/>
      <c r="FUS264" s="297"/>
      <c r="FUT264" s="297"/>
      <c r="FUU264" s="297"/>
      <c r="FUV264" s="297"/>
      <c r="FUW264" s="297"/>
      <c r="FUX264" s="297"/>
      <c r="FUY264" s="297"/>
      <c r="FUZ264" s="297"/>
      <c r="FVA264" s="297"/>
      <c r="FVB264" s="297"/>
      <c r="FVC264" s="297"/>
      <c r="FVD264" s="297"/>
      <c r="FVE264" s="297"/>
      <c r="FVF264" s="297"/>
      <c r="FVG264" s="297"/>
      <c r="FVH264" s="297"/>
      <c r="FVI264" s="297"/>
      <c r="FVJ264" s="297"/>
      <c r="FVK264" s="297"/>
      <c r="FVL264" s="297"/>
      <c r="FVM264" s="297"/>
      <c r="FVN264" s="297"/>
      <c r="FVO264" s="297"/>
      <c r="FVP264" s="297"/>
      <c r="FVQ264" s="297"/>
      <c r="FVR264" s="297"/>
      <c r="FVS264" s="297"/>
      <c r="FVT264" s="297"/>
      <c r="FVU264" s="297"/>
      <c r="FVV264" s="297"/>
      <c r="FVW264" s="297"/>
      <c r="FVX264" s="297"/>
      <c r="FVY264" s="297"/>
      <c r="FVZ264" s="297"/>
      <c r="FWA264" s="297"/>
      <c r="FWB264" s="297"/>
      <c r="FWC264" s="297"/>
      <c r="FWD264" s="297"/>
      <c r="FWE264" s="297"/>
      <c r="FWF264" s="297"/>
      <c r="FWG264" s="297"/>
      <c r="FWH264" s="297"/>
      <c r="FWI264" s="297"/>
      <c r="FWJ264" s="297"/>
      <c r="FWK264" s="297"/>
      <c r="FWL264" s="297"/>
      <c r="FWM264" s="297"/>
      <c r="FWN264" s="297"/>
      <c r="FWO264" s="297"/>
      <c r="FWP264" s="297"/>
      <c r="FWQ264" s="297"/>
      <c r="FWR264" s="297"/>
      <c r="FWS264" s="297"/>
      <c r="FWT264" s="297"/>
      <c r="FWU264" s="297"/>
      <c r="FWV264" s="297"/>
      <c r="FWW264" s="297"/>
      <c r="FWX264" s="297"/>
      <c r="FWY264" s="297"/>
      <c r="FWZ264" s="297"/>
      <c r="FXA264" s="297"/>
      <c r="FXB264" s="297"/>
      <c r="FXC264" s="297"/>
      <c r="FXD264" s="297"/>
      <c r="FXE264" s="297"/>
      <c r="FXF264" s="297"/>
      <c r="FXG264" s="297"/>
      <c r="FXH264" s="297"/>
      <c r="FXI264" s="297"/>
      <c r="FXJ264" s="297"/>
      <c r="FXK264" s="297"/>
      <c r="FXL264" s="297"/>
      <c r="FXM264" s="297"/>
      <c r="FXN264" s="297"/>
      <c r="FXO264" s="297"/>
      <c r="FXP264" s="297"/>
      <c r="FXQ264" s="297"/>
      <c r="FXR264" s="297"/>
      <c r="FXS264" s="297"/>
      <c r="FXT264" s="297"/>
      <c r="FXU264" s="297"/>
      <c r="FXV264" s="297"/>
      <c r="FXW264" s="297"/>
      <c r="FXX264" s="297"/>
      <c r="FXY264" s="297"/>
      <c r="FXZ264" s="297"/>
      <c r="FYA264" s="297"/>
      <c r="FYB264" s="297"/>
      <c r="FYC264" s="297"/>
      <c r="FYD264" s="297"/>
      <c r="FYE264" s="297"/>
      <c r="FYF264" s="297"/>
      <c r="FYG264" s="297"/>
      <c r="FYH264" s="297"/>
      <c r="FYI264" s="297"/>
      <c r="FYJ264" s="297"/>
      <c r="FYK264" s="297"/>
      <c r="FYL264" s="297"/>
      <c r="FYM264" s="297"/>
      <c r="FYN264" s="297"/>
      <c r="FYO264" s="297"/>
      <c r="FYP264" s="297"/>
      <c r="FYQ264" s="297"/>
      <c r="FYR264" s="297"/>
      <c r="FYS264" s="297"/>
      <c r="FYT264" s="297"/>
      <c r="FYU264" s="297"/>
      <c r="FYV264" s="297"/>
      <c r="FYW264" s="297"/>
      <c r="FYX264" s="297"/>
      <c r="FYY264" s="297"/>
      <c r="FYZ264" s="297"/>
      <c r="FZA264" s="297"/>
      <c r="FZB264" s="297"/>
      <c r="FZC264" s="297"/>
      <c r="FZD264" s="297"/>
      <c r="FZE264" s="297"/>
      <c r="FZF264" s="297"/>
      <c r="FZG264" s="297"/>
      <c r="FZH264" s="297"/>
      <c r="FZI264" s="297"/>
      <c r="FZJ264" s="297"/>
      <c r="FZK264" s="297"/>
      <c r="FZL264" s="297"/>
      <c r="FZM264" s="297"/>
      <c r="FZN264" s="297"/>
      <c r="FZO264" s="297"/>
      <c r="FZP264" s="297"/>
      <c r="FZQ264" s="297"/>
      <c r="FZR264" s="297"/>
      <c r="FZS264" s="297"/>
      <c r="FZT264" s="297"/>
      <c r="FZU264" s="297"/>
      <c r="FZV264" s="297"/>
      <c r="FZW264" s="297"/>
      <c r="FZX264" s="297"/>
      <c r="FZY264" s="297"/>
      <c r="FZZ264" s="297"/>
      <c r="GAA264" s="297"/>
      <c r="GAB264" s="297"/>
      <c r="GAC264" s="297"/>
      <c r="GAD264" s="297"/>
      <c r="GAE264" s="297"/>
      <c r="GAF264" s="297"/>
      <c r="GAG264" s="297"/>
      <c r="GAH264" s="297"/>
      <c r="GAI264" s="297"/>
      <c r="GAJ264" s="297"/>
      <c r="GAK264" s="297"/>
      <c r="GAL264" s="297"/>
      <c r="GAM264" s="297"/>
      <c r="GAN264" s="297"/>
      <c r="GAO264" s="297"/>
      <c r="GAP264" s="297"/>
      <c r="GAQ264" s="297"/>
      <c r="GAR264" s="297"/>
      <c r="GAS264" s="297"/>
      <c r="GAT264" s="297"/>
      <c r="GAU264" s="297"/>
      <c r="GAV264" s="297"/>
      <c r="GAW264" s="297"/>
      <c r="GAX264" s="297"/>
      <c r="GAY264" s="297"/>
      <c r="GAZ264" s="297"/>
      <c r="GBA264" s="297"/>
      <c r="GBB264" s="297"/>
      <c r="GBC264" s="297"/>
      <c r="GBD264" s="297"/>
      <c r="GBE264" s="297"/>
      <c r="GBF264" s="297"/>
      <c r="GBG264" s="297"/>
      <c r="GBH264" s="297"/>
      <c r="GBI264" s="297"/>
      <c r="GBJ264" s="297"/>
      <c r="GBK264" s="297"/>
      <c r="GBL264" s="297"/>
      <c r="GBM264" s="297"/>
      <c r="GBN264" s="297"/>
      <c r="GBO264" s="297"/>
      <c r="GBP264" s="297"/>
      <c r="GBQ264" s="297"/>
      <c r="GBR264" s="297"/>
      <c r="GBS264" s="297"/>
      <c r="GBT264" s="297"/>
      <c r="GBU264" s="297"/>
      <c r="GBV264" s="297"/>
      <c r="GBW264" s="297"/>
      <c r="GBX264" s="297"/>
      <c r="GBY264" s="297"/>
      <c r="GBZ264" s="297"/>
      <c r="GCA264" s="297"/>
      <c r="GCB264" s="297"/>
      <c r="GCC264" s="297"/>
      <c r="GCD264" s="297"/>
      <c r="GCE264" s="297"/>
      <c r="GCF264" s="297"/>
      <c r="GCG264" s="297"/>
      <c r="GCH264" s="297"/>
      <c r="GCI264" s="297"/>
      <c r="GCJ264" s="297"/>
      <c r="GCK264" s="297"/>
      <c r="GCL264" s="297"/>
      <c r="GCM264" s="297"/>
      <c r="GCN264" s="297"/>
      <c r="GCO264" s="297"/>
      <c r="GCP264" s="297"/>
      <c r="GCQ264" s="297"/>
      <c r="GCR264" s="297"/>
      <c r="GCS264" s="297"/>
      <c r="GCT264" s="297"/>
      <c r="GCU264" s="297"/>
      <c r="GCV264" s="297"/>
      <c r="GCW264" s="297"/>
      <c r="GCX264" s="297"/>
      <c r="GCY264" s="297"/>
      <c r="GCZ264" s="297"/>
      <c r="GDA264" s="297"/>
      <c r="GDB264" s="297"/>
      <c r="GDC264" s="297"/>
      <c r="GDD264" s="297"/>
      <c r="GDE264" s="297"/>
      <c r="GDF264" s="297"/>
      <c r="GDG264" s="297"/>
      <c r="GDH264" s="297"/>
      <c r="GDI264" s="297"/>
      <c r="GDJ264" s="297"/>
      <c r="GDK264" s="297"/>
      <c r="GDL264" s="297"/>
      <c r="GDM264" s="297"/>
      <c r="GDN264" s="297"/>
      <c r="GDO264" s="297"/>
      <c r="GDP264" s="297"/>
      <c r="GDQ264" s="297"/>
      <c r="GDR264" s="297"/>
      <c r="GDS264" s="297"/>
      <c r="GDT264" s="297"/>
      <c r="GDU264" s="297"/>
      <c r="GDV264" s="297"/>
      <c r="GDW264" s="297"/>
      <c r="GDX264" s="297"/>
      <c r="GDY264" s="297"/>
      <c r="GDZ264" s="297"/>
      <c r="GEA264" s="297"/>
      <c r="GEB264" s="297"/>
      <c r="GEC264" s="297"/>
      <c r="GED264" s="297"/>
      <c r="GEE264" s="297"/>
      <c r="GEF264" s="297"/>
      <c r="GEG264" s="297"/>
      <c r="GEH264" s="297"/>
      <c r="GEI264" s="297"/>
      <c r="GEJ264" s="297"/>
      <c r="GEK264" s="297"/>
      <c r="GEL264" s="297"/>
      <c r="GEM264" s="297"/>
      <c r="GEN264" s="297"/>
      <c r="GEO264" s="297"/>
      <c r="GEP264" s="297"/>
      <c r="GEQ264" s="297"/>
      <c r="GER264" s="297"/>
      <c r="GES264" s="297"/>
      <c r="GET264" s="297"/>
      <c r="GEU264" s="297"/>
      <c r="GEV264" s="297"/>
      <c r="GEW264" s="297"/>
      <c r="GEX264" s="297"/>
      <c r="GEY264" s="297"/>
      <c r="GEZ264" s="297"/>
      <c r="GFA264" s="297"/>
      <c r="GFB264" s="297"/>
      <c r="GFC264" s="297"/>
      <c r="GFD264" s="297"/>
      <c r="GFE264" s="297"/>
      <c r="GFF264" s="297"/>
      <c r="GFG264" s="297"/>
      <c r="GFH264" s="297"/>
      <c r="GFI264" s="297"/>
      <c r="GFJ264" s="297"/>
      <c r="GFK264" s="297"/>
      <c r="GFL264" s="297"/>
      <c r="GFM264" s="297"/>
      <c r="GFN264" s="297"/>
      <c r="GFO264" s="297"/>
      <c r="GFP264" s="297"/>
      <c r="GFQ264" s="297"/>
      <c r="GFR264" s="297"/>
      <c r="GFS264" s="297"/>
      <c r="GFT264" s="297"/>
      <c r="GFU264" s="297"/>
      <c r="GFV264" s="297"/>
      <c r="GFW264" s="297"/>
      <c r="GFX264" s="297"/>
      <c r="GFY264" s="297"/>
      <c r="GFZ264" s="297"/>
      <c r="GGA264" s="297"/>
      <c r="GGB264" s="297"/>
      <c r="GGC264" s="297"/>
      <c r="GGD264" s="297"/>
      <c r="GGE264" s="297"/>
      <c r="GGF264" s="297"/>
      <c r="GGG264" s="297"/>
      <c r="GGH264" s="297"/>
      <c r="GGI264" s="297"/>
      <c r="GGJ264" s="297"/>
      <c r="GGK264" s="297"/>
      <c r="GGL264" s="297"/>
      <c r="GGM264" s="297"/>
      <c r="GGN264" s="297"/>
      <c r="GGO264" s="297"/>
      <c r="GGP264" s="297"/>
      <c r="GGQ264" s="297"/>
      <c r="GGR264" s="297"/>
      <c r="GGS264" s="297"/>
      <c r="GGT264" s="297"/>
      <c r="GGU264" s="297"/>
      <c r="GGV264" s="297"/>
      <c r="GGW264" s="297"/>
      <c r="GGX264" s="297"/>
      <c r="GGY264" s="297"/>
      <c r="GGZ264" s="297"/>
      <c r="GHA264" s="297"/>
      <c r="GHB264" s="297"/>
      <c r="GHC264" s="297"/>
      <c r="GHD264" s="297"/>
      <c r="GHE264" s="297"/>
      <c r="GHF264" s="297"/>
      <c r="GHG264" s="297"/>
      <c r="GHH264" s="297"/>
      <c r="GHI264" s="297"/>
      <c r="GHJ264" s="297"/>
      <c r="GHK264" s="297"/>
      <c r="GHL264" s="297"/>
      <c r="GHM264" s="297"/>
      <c r="GHN264" s="297"/>
      <c r="GHO264" s="297"/>
      <c r="GHP264" s="297"/>
      <c r="GHQ264" s="297"/>
      <c r="GHR264" s="297"/>
      <c r="GHS264" s="297"/>
      <c r="GHT264" s="297"/>
      <c r="GHU264" s="297"/>
      <c r="GHV264" s="297"/>
      <c r="GHW264" s="297"/>
      <c r="GHX264" s="297"/>
      <c r="GHY264" s="297"/>
      <c r="GHZ264" s="297"/>
      <c r="GIA264" s="297"/>
      <c r="GIB264" s="297"/>
      <c r="GIC264" s="297"/>
      <c r="GID264" s="297"/>
      <c r="GIE264" s="297"/>
      <c r="GIF264" s="297"/>
      <c r="GIG264" s="297"/>
      <c r="GIH264" s="297"/>
      <c r="GII264" s="297"/>
      <c r="GIJ264" s="297"/>
      <c r="GIK264" s="297"/>
      <c r="GIL264" s="297"/>
      <c r="GIM264" s="297"/>
      <c r="GIN264" s="297"/>
      <c r="GIO264" s="297"/>
      <c r="GIP264" s="297"/>
      <c r="GIQ264" s="297"/>
      <c r="GIR264" s="297"/>
      <c r="GIS264" s="297"/>
      <c r="GIT264" s="297"/>
      <c r="GIU264" s="297"/>
      <c r="GIV264" s="297"/>
      <c r="GIW264" s="297"/>
      <c r="GIX264" s="297"/>
      <c r="GIY264" s="297"/>
      <c r="GIZ264" s="297"/>
      <c r="GJA264" s="297"/>
      <c r="GJB264" s="297"/>
      <c r="GJC264" s="297"/>
      <c r="GJD264" s="297"/>
      <c r="GJE264" s="297"/>
      <c r="GJF264" s="297"/>
      <c r="GJG264" s="297"/>
      <c r="GJH264" s="297"/>
      <c r="GJI264" s="297"/>
      <c r="GJJ264" s="297"/>
      <c r="GJK264" s="297"/>
      <c r="GJL264" s="297"/>
      <c r="GJM264" s="297"/>
      <c r="GJN264" s="297"/>
      <c r="GJO264" s="297"/>
      <c r="GJP264" s="297"/>
      <c r="GJQ264" s="297"/>
      <c r="GJR264" s="297"/>
      <c r="GJS264" s="297"/>
      <c r="GJT264" s="297"/>
      <c r="GJU264" s="297"/>
      <c r="GJV264" s="297"/>
      <c r="GJW264" s="297"/>
      <c r="GJX264" s="297"/>
      <c r="GJY264" s="297"/>
      <c r="GJZ264" s="297"/>
      <c r="GKA264" s="297"/>
      <c r="GKB264" s="297"/>
      <c r="GKC264" s="297"/>
      <c r="GKD264" s="297"/>
      <c r="GKE264" s="297"/>
      <c r="GKF264" s="297"/>
      <c r="GKG264" s="297"/>
      <c r="GKH264" s="297"/>
      <c r="GKI264" s="297"/>
      <c r="GKJ264" s="297"/>
      <c r="GKK264" s="297"/>
      <c r="GKL264" s="297"/>
      <c r="GKM264" s="297"/>
      <c r="GKN264" s="297"/>
      <c r="GKO264" s="297"/>
      <c r="GKP264" s="297"/>
      <c r="GKQ264" s="297"/>
      <c r="GKR264" s="297"/>
      <c r="GKS264" s="297"/>
      <c r="GKT264" s="297"/>
      <c r="GKU264" s="297"/>
      <c r="GKV264" s="297"/>
      <c r="GKW264" s="297"/>
      <c r="GKX264" s="297"/>
      <c r="GKY264" s="297"/>
      <c r="GKZ264" s="297"/>
      <c r="GLA264" s="297"/>
      <c r="GLB264" s="297"/>
      <c r="GLC264" s="297"/>
      <c r="GLD264" s="297"/>
      <c r="GLE264" s="297"/>
      <c r="GLF264" s="297"/>
      <c r="GLG264" s="297"/>
      <c r="GLH264" s="297"/>
      <c r="GLI264" s="297"/>
      <c r="GLJ264" s="297"/>
      <c r="GLK264" s="297"/>
      <c r="GLL264" s="297"/>
      <c r="GLM264" s="297"/>
      <c r="GLN264" s="297"/>
      <c r="GLO264" s="297"/>
      <c r="GLP264" s="297"/>
      <c r="GLQ264" s="297"/>
      <c r="GLR264" s="297"/>
      <c r="GLS264" s="297"/>
      <c r="GLT264" s="297"/>
      <c r="GLU264" s="297"/>
      <c r="GLV264" s="297"/>
      <c r="GLW264" s="297"/>
      <c r="GLX264" s="297"/>
      <c r="GLY264" s="297"/>
      <c r="GLZ264" s="297"/>
      <c r="GMA264" s="297"/>
      <c r="GMB264" s="297"/>
      <c r="GMC264" s="297"/>
      <c r="GMD264" s="297"/>
      <c r="GME264" s="297"/>
      <c r="GMF264" s="297"/>
      <c r="GMG264" s="297"/>
      <c r="GMH264" s="297"/>
      <c r="GMI264" s="297"/>
      <c r="GMJ264" s="297"/>
      <c r="GMK264" s="297"/>
      <c r="GML264" s="297"/>
      <c r="GMM264" s="297"/>
      <c r="GMN264" s="297"/>
      <c r="GMO264" s="297"/>
      <c r="GMP264" s="297"/>
      <c r="GMQ264" s="297"/>
      <c r="GMR264" s="297"/>
      <c r="GMS264" s="297"/>
      <c r="GMT264" s="297"/>
      <c r="GMU264" s="297"/>
      <c r="GMV264" s="297"/>
      <c r="GMW264" s="297"/>
      <c r="GMX264" s="297"/>
      <c r="GMY264" s="297"/>
      <c r="GMZ264" s="297"/>
      <c r="GNA264" s="297"/>
      <c r="GNB264" s="297"/>
      <c r="GNC264" s="297"/>
      <c r="GND264" s="297"/>
      <c r="GNE264" s="297"/>
      <c r="GNF264" s="297"/>
      <c r="GNG264" s="297"/>
      <c r="GNH264" s="297"/>
      <c r="GNI264" s="297"/>
      <c r="GNJ264" s="297"/>
      <c r="GNK264" s="297"/>
      <c r="GNL264" s="297"/>
      <c r="GNM264" s="297"/>
      <c r="GNN264" s="297"/>
      <c r="GNO264" s="297"/>
      <c r="GNP264" s="297"/>
      <c r="GNQ264" s="297"/>
      <c r="GNR264" s="297"/>
      <c r="GNS264" s="297"/>
      <c r="GNT264" s="297"/>
      <c r="GNU264" s="297"/>
      <c r="GNV264" s="297"/>
      <c r="GNW264" s="297"/>
      <c r="GNX264" s="297"/>
      <c r="GNY264" s="297"/>
      <c r="GNZ264" s="297"/>
      <c r="GOA264" s="297"/>
      <c r="GOB264" s="297"/>
      <c r="GOC264" s="297"/>
      <c r="GOD264" s="297"/>
      <c r="GOE264" s="297"/>
      <c r="GOF264" s="297"/>
      <c r="GOG264" s="297"/>
      <c r="GOH264" s="297"/>
      <c r="GOI264" s="297"/>
      <c r="GOJ264" s="297"/>
      <c r="GOK264" s="297"/>
      <c r="GOL264" s="297"/>
      <c r="GOM264" s="297"/>
      <c r="GON264" s="297"/>
      <c r="GOO264" s="297"/>
      <c r="GOP264" s="297"/>
      <c r="GOQ264" s="297"/>
      <c r="GOR264" s="297"/>
      <c r="GOS264" s="297"/>
      <c r="GOT264" s="297"/>
      <c r="GOU264" s="297"/>
      <c r="GOV264" s="297"/>
      <c r="GOW264" s="297"/>
      <c r="GOX264" s="297"/>
      <c r="GOY264" s="297"/>
      <c r="GOZ264" s="297"/>
      <c r="GPA264" s="297"/>
      <c r="GPB264" s="297"/>
      <c r="GPC264" s="297"/>
      <c r="GPD264" s="297"/>
      <c r="GPE264" s="297"/>
      <c r="GPF264" s="297"/>
      <c r="GPG264" s="297"/>
      <c r="GPH264" s="297"/>
      <c r="GPI264" s="297"/>
      <c r="GPJ264" s="297"/>
      <c r="GPK264" s="297"/>
      <c r="GPL264" s="297"/>
      <c r="GPM264" s="297"/>
      <c r="GPN264" s="297"/>
      <c r="GPO264" s="297"/>
      <c r="GPP264" s="297"/>
      <c r="GPQ264" s="297"/>
      <c r="GPR264" s="297"/>
      <c r="GPS264" s="297"/>
      <c r="GPT264" s="297"/>
      <c r="GPU264" s="297"/>
      <c r="GPV264" s="297"/>
      <c r="GPW264" s="297"/>
      <c r="GPX264" s="297"/>
      <c r="GPY264" s="297"/>
      <c r="GPZ264" s="297"/>
      <c r="GQA264" s="297"/>
      <c r="GQB264" s="297"/>
      <c r="GQC264" s="297"/>
      <c r="GQD264" s="297"/>
      <c r="GQE264" s="297"/>
      <c r="GQF264" s="297"/>
      <c r="GQG264" s="297"/>
      <c r="GQH264" s="297"/>
      <c r="GQI264" s="297"/>
      <c r="GQJ264" s="297"/>
      <c r="GQK264" s="297"/>
      <c r="GQL264" s="297"/>
      <c r="GQM264" s="297"/>
      <c r="GQN264" s="297"/>
      <c r="GQO264" s="297"/>
      <c r="GQP264" s="297"/>
      <c r="GQQ264" s="297"/>
      <c r="GQR264" s="297"/>
      <c r="GQS264" s="297"/>
      <c r="GQT264" s="297"/>
      <c r="GQU264" s="297"/>
      <c r="GQV264" s="297"/>
      <c r="GQW264" s="297"/>
      <c r="GQX264" s="297"/>
      <c r="GQY264" s="297"/>
      <c r="GQZ264" s="297"/>
      <c r="GRA264" s="297"/>
      <c r="GRB264" s="297"/>
      <c r="GRC264" s="297"/>
      <c r="GRD264" s="297"/>
      <c r="GRE264" s="297"/>
      <c r="GRF264" s="297"/>
      <c r="GRG264" s="297"/>
      <c r="GRH264" s="297"/>
      <c r="GRI264" s="297"/>
      <c r="GRJ264" s="297"/>
      <c r="GRK264" s="297"/>
      <c r="GRL264" s="297"/>
      <c r="GRM264" s="297"/>
      <c r="GRN264" s="297"/>
      <c r="GRO264" s="297"/>
      <c r="GRP264" s="297"/>
      <c r="GRQ264" s="297"/>
      <c r="GRR264" s="297"/>
      <c r="GRS264" s="297"/>
      <c r="GRT264" s="297"/>
      <c r="GRU264" s="297"/>
      <c r="GRV264" s="297"/>
      <c r="GRW264" s="297"/>
      <c r="GRX264" s="297"/>
      <c r="GRY264" s="297"/>
      <c r="GRZ264" s="297"/>
      <c r="GSA264" s="297"/>
      <c r="GSB264" s="297"/>
      <c r="GSC264" s="297"/>
      <c r="GSD264" s="297"/>
      <c r="GSE264" s="297"/>
      <c r="GSF264" s="297"/>
      <c r="GSG264" s="297"/>
      <c r="GSH264" s="297"/>
      <c r="GSI264" s="297"/>
      <c r="GSJ264" s="297"/>
      <c r="GSK264" s="297"/>
      <c r="GSL264" s="297"/>
      <c r="GSM264" s="297"/>
      <c r="GSN264" s="297"/>
      <c r="GSO264" s="297"/>
      <c r="GSP264" s="297"/>
      <c r="GSQ264" s="297"/>
      <c r="GSR264" s="297"/>
      <c r="GSS264" s="297"/>
      <c r="GST264" s="297"/>
      <c r="GSU264" s="297"/>
      <c r="GSV264" s="297"/>
      <c r="GSW264" s="297"/>
      <c r="GSX264" s="297"/>
      <c r="GSY264" s="297"/>
      <c r="GSZ264" s="297"/>
      <c r="GTA264" s="297"/>
      <c r="GTB264" s="297"/>
      <c r="GTC264" s="297"/>
      <c r="GTD264" s="297"/>
      <c r="GTE264" s="297"/>
      <c r="GTF264" s="297"/>
      <c r="GTG264" s="297"/>
      <c r="GTH264" s="297"/>
      <c r="GTI264" s="297"/>
      <c r="GTJ264" s="297"/>
      <c r="GTK264" s="297"/>
      <c r="GTL264" s="297"/>
      <c r="GTM264" s="297"/>
      <c r="GTN264" s="297"/>
      <c r="GTO264" s="297"/>
      <c r="GTP264" s="297"/>
      <c r="GTQ264" s="297"/>
      <c r="GTR264" s="297"/>
      <c r="GTS264" s="297"/>
      <c r="GTT264" s="297"/>
      <c r="GTU264" s="297"/>
      <c r="GTV264" s="297"/>
      <c r="GTW264" s="297"/>
      <c r="GTX264" s="297"/>
      <c r="GTY264" s="297"/>
      <c r="GTZ264" s="297"/>
      <c r="GUA264" s="297"/>
      <c r="GUB264" s="297"/>
      <c r="GUC264" s="297"/>
      <c r="GUD264" s="297"/>
      <c r="GUE264" s="297"/>
      <c r="GUF264" s="297"/>
      <c r="GUG264" s="297"/>
      <c r="GUH264" s="297"/>
      <c r="GUI264" s="297"/>
      <c r="GUJ264" s="297"/>
      <c r="GUK264" s="297"/>
      <c r="GUL264" s="297"/>
      <c r="GUM264" s="297"/>
      <c r="GUN264" s="297"/>
      <c r="GUO264" s="297"/>
      <c r="GUP264" s="297"/>
      <c r="GUQ264" s="297"/>
      <c r="GUR264" s="297"/>
      <c r="GUS264" s="297"/>
      <c r="GUT264" s="297"/>
      <c r="GUU264" s="297"/>
      <c r="GUV264" s="297"/>
      <c r="GUW264" s="297"/>
      <c r="GUX264" s="297"/>
      <c r="GUY264" s="297"/>
      <c r="GUZ264" s="297"/>
      <c r="GVA264" s="297"/>
      <c r="GVB264" s="297"/>
      <c r="GVC264" s="297"/>
      <c r="GVD264" s="297"/>
      <c r="GVE264" s="297"/>
      <c r="GVF264" s="297"/>
      <c r="GVG264" s="297"/>
      <c r="GVH264" s="297"/>
      <c r="GVI264" s="297"/>
      <c r="GVJ264" s="297"/>
      <c r="GVK264" s="297"/>
      <c r="GVL264" s="297"/>
      <c r="GVM264" s="297"/>
      <c r="GVN264" s="297"/>
      <c r="GVO264" s="297"/>
      <c r="GVP264" s="297"/>
      <c r="GVQ264" s="297"/>
      <c r="GVR264" s="297"/>
      <c r="GVS264" s="297"/>
      <c r="GVT264" s="297"/>
      <c r="GVU264" s="297"/>
      <c r="GVV264" s="297"/>
      <c r="GVW264" s="297"/>
      <c r="GVX264" s="297"/>
      <c r="GVY264" s="297"/>
      <c r="GVZ264" s="297"/>
      <c r="GWA264" s="297"/>
      <c r="GWB264" s="297"/>
      <c r="GWC264" s="297"/>
      <c r="GWD264" s="297"/>
      <c r="GWE264" s="297"/>
      <c r="GWF264" s="297"/>
      <c r="GWG264" s="297"/>
      <c r="GWH264" s="297"/>
      <c r="GWI264" s="297"/>
      <c r="GWJ264" s="297"/>
      <c r="GWK264" s="297"/>
      <c r="GWL264" s="297"/>
      <c r="GWM264" s="297"/>
      <c r="GWN264" s="297"/>
      <c r="GWO264" s="297"/>
      <c r="GWP264" s="297"/>
      <c r="GWQ264" s="297"/>
      <c r="GWR264" s="297"/>
      <c r="GWS264" s="297"/>
      <c r="GWT264" s="297"/>
      <c r="GWU264" s="297"/>
      <c r="GWV264" s="297"/>
      <c r="GWW264" s="297"/>
      <c r="GWX264" s="297"/>
      <c r="GWY264" s="297"/>
      <c r="GWZ264" s="297"/>
      <c r="GXA264" s="297"/>
      <c r="GXB264" s="297"/>
      <c r="GXC264" s="297"/>
      <c r="GXD264" s="297"/>
      <c r="GXE264" s="297"/>
      <c r="GXF264" s="297"/>
      <c r="GXG264" s="297"/>
      <c r="GXH264" s="297"/>
      <c r="GXI264" s="297"/>
      <c r="GXJ264" s="297"/>
      <c r="GXK264" s="297"/>
      <c r="GXL264" s="297"/>
      <c r="GXM264" s="297"/>
      <c r="GXN264" s="297"/>
      <c r="GXO264" s="297"/>
      <c r="GXP264" s="297"/>
      <c r="GXQ264" s="297"/>
      <c r="GXR264" s="297"/>
      <c r="GXS264" s="297"/>
      <c r="GXT264" s="297"/>
      <c r="GXU264" s="297"/>
      <c r="GXV264" s="297"/>
      <c r="GXW264" s="297"/>
      <c r="GXX264" s="297"/>
      <c r="GXY264" s="297"/>
      <c r="GXZ264" s="297"/>
      <c r="GYA264" s="297"/>
      <c r="GYB264" s="297"/>
      <c r="GYC264" s="297"/>
      <c r="GYD264" s="297"/>
      <c r="GYE264" s="297"/>
      <c r="GYF264" s="297"/>
      <c r="GYG264" s="297"/>
      <c r="GYH264" s="297"/>
      <c r="GYI264" s="297"/>
      <c r="GYJ264" s="297"/>
      <c r="GYK264" s="297"/>
      <c r="GYL264" s="297"/>
      <c r="GYM264" s="297"/>
      <c r="GYN264" s="297"/>
      <c r="GYO264" s="297"/>
      <c r="GYP264" s="297"/>
      <c r="GYQ264" s="297"/>
      <c r="GYR264" s="297"/>
      <c r="GYS264" s="297"/>
      <c r="GYT264" s="297"/>
      <c r="GYU264" s="297"/>
      <c r="GYV264" s="297"/>
      <c r="GYW264" s="297"/>
      <c r="GYX264" s="297"/>
      <c r="GYY264" s="297"/>
      <c r="GYZ264" s="297"/>
      <c r="GZA264" s="297"/>
      <c r="GZB264" s="297"/>
      <c r="GZC264" s="297"/>
      <c r="GZD264" s="297"/>
      <c r="GZE264" s="297"/>
      <c r="GZF264" s="297"/>
      <c r="GZG264" s="297"/>
      <c r="GZH264" s="297"/>
      <c r="GZI264" s="297"/>
      <c r="GZJ264" s="297"/>
      <c r="GZK264" s="297"/>
      <c r="GZL264" s="297"/>
      <c r="GZM264" s="297"/>
      <c r="GZN264" s="297"/>
      <c r="GZO264" s="297"/>
      <c r="GZP264" s="297"/>
      <c r="GZQ264" s="297"/>
      <c r="GZR264" s="297"/>
      <c r="GZS264" s="297"/>
      <c r="GZT264" s="297"/>
      <c r="GZU264" s="297"/>
      <c r="GZV264" s="297"/>
      <c r="GZW264" s="297"/>
      <c r="GZX264" s="297"/>
      <c r="GZY264" s="297"/>
      <c r="GZZ264" s="297"/>
      <c r="HAA264" s="297"/>
      <c r="HAB264" s="297"/>
      <c r="HAC264" s="297"/>
      <c r="HAD264" s="297"/>
      <c r="HAE264" s="297"/>
      <c r="HAF264" s="297"/>
      <c r="HAG264" s="297"/>
      <c r="HAH264" s="297"/>
      <c r="HAI264" s="297"/>
      <c r="HAJ264" s="297"/>
      <c r="HAK264" s="297"/>
      <c r="HAL264" s="297"/>
      <c r="HAM264" s="297"/>
      <c r="HAN264" s="297"/>
      <c r="HAO264" s="297"/>
      <c r="HAP264" s="297"/>
      <c r="HAQ264" s="297"/>
      <c r="HAR264" s="297"/>
      <c r="HAS264" s="297"/>
      <c r="HAT264" s="297"/>
      <c r="HAU264" s="297"/>
      <c r="HAV264" s="297"/>
      <c r="HAW264" s="297"/>
      <c r="HAX264" s="297"/>
      <c r="HAY264" s="297"/>
      <c r="HAZ264" s="297"/>
      <c r="HBA264" s="297"/>
      <c r="HBB264" s="297"/>
      <c r="HBC264" s="297"/>
      <c r="HBD264" s="297"/>
      <c r="HBE264" s="297"/>
      <c r="HBF264" s="297"/>
      <c r="HBG264" s="297"/>
      <c r="HBH264" s="297"/>
      <c r="HBI264" s="297"/>
      <c r="HBJ264" s="297"/>
      <c r="HBK264" s="297"/>
      <c r="HBL264" s="297"/>
      <c r="HBM264" s="297"/>
      <c r="HBN264" s="297"/>
      <c r="HBO264" s="297"/>
      <c r="HBP264" s="297"/>
      <c r="HBQ264" s="297"/>
      <c r="HBR264" s="297"/>
      <c r="HBS264" s="297"/>
      <c r="HBT264" s="297"/>
      <c r="HBU264" s="297"/>
      <c r="HBV264" s="297"/>
      <c r="HBW264" s="297"/>
      <c r="HBX264" s="297"/>
      <c r="HBY264" s="297"/>
      <c r="HBZ264" s="297"/>
      <c r="HCA264" s="297"/>
      <c r="HCB264" s="297"/>
      <c r="HCC264" s="297"/>
      <c r="HCD264" s="297"/>
      <c r="HCE264" s="297"/>
      <c r="HCF264" s="297"/>
      <c r="HCG264" s="297"/>
      <c r="HCH264" s="297"/>
      <c r="HCI264" s="297"/>
      <c r="HCJ264" s="297"/>
      <c r="HCK264" s="297"/>
      <c r="HCL264" s="297"/>
      <c r="HCM264" s="297"/>
      <c r="HCN264" s="297"/>
      <c r="HCO264" s="297"/>
      <c r="HCP264" s="297"/>
      <c r="HCQ264" s="297"/>
      <c r="HCR264" s="297"/>
      <c r="HCS264" s="297"/>
      <c r="HCT264" s="297"/>
      <c r="HCU264" s="297"/>
      <c r="HCV264" s="297"/>
      <c r="HCW264" s="297"/>
      <c r="HCX264" s="297"/>
      <c r="HCY264" s="297"/>
      <c r="HCZ264" s="297"/>
      <c r="HDA264" s="297"/>
      <c r="HDB264" s="297"/>
      <c r="HDC264" s="297"/>
      <c r="HDD264" s="297"/>
      <c r="HDE264" s="297"/>
      <c r="HDF264" s="297"/>
      <c r="HDG264" s="297"/>
      <c r="HDH264" s="297"/>
      <c r="HDI264" s="297"/>
      <c r="HDJ264" s="297"/>
      <c r="HDK264" s="297"/>
      <c r="HDL264" s="297"/>
      <c r="HDM264" s="297"/>
      <c r="HDN264" s="297"/>
      <c r="HDO264" s="297"/>
      <c r="HDP264" s="297"/>
      <c r="HDQ264" s="297"/>
      <c r="HDR264" s="297"/>
      <c r="HDS264" s="297"/>
      <c r="HDT264" s="297"/>
      <c r="HDU264" s="297"/>
      <c r="HDV264" s="297"/>
      <c r="HDW264" s="297"/>
      <c r="HDX264" s="297"/>
      <c r="HDY264" s="297"/>
      <c r="HDZ264" s="297"/>
      <c r="HEA264" s="297"/>
      <c r="HEB264" s="297"/>
      <c r="HEC264" s="297"/>
      <c r="HED264" s="297"/>
      <c r="HEE264" s="297"/>
      <c r="HEF264" s="297"/>
      <c r="HEG264" s="297"/>
      <c r="HEH264" s="297"/>
      <c r="HEI264" s="297"/>
      <c r="HEJ264" s="297"/>
      <c r="HEK264" s="297"/>
      <c r="HEL264" s="297"/>
      <c r="HEM264" s="297"/>
      <c r="HEN264" s="297"/>
      <c r="HEO264" s="297"/>
      <c r="HEP264" s="297"/>
      <c r="HEQ264" s="297"/>
      <c r="HER264" s="297"/>
      <c r="HES264" s="297"/>
      <c r="HET264" s="297"/>
      <c r="HEU264" s="297"/>
      <c r="HEV264" s="297"/>
      <c r="HEW264" s="297"/>
      <c r="HEX264" s="297"/>
      <c r="HEY264" s="297"/>
      <c r="HEZ264" s="297"/>
      <c r="HFA264" s="297"/>
      <c r="HFB264" s="297"/>
      <c r="HFC264" s="297"/>
      <c r="HFD264" s="297"/>
      <c r="HFE264" s="297"/>
      <c r="HFF264" s="297"/>
      <c r="HFG264" s="297"/>
      <c r="HFH264" s="297"/>
      <c r="HFI264" s="297"/>
      <c r="HFJ264" s="297"/>
      <c r="HFK264" s="297"/>
      <c r="HFL264" s="297"/>
      <c r="HFM264" s="297"/>
      <c r="HFN264" s="297"/>
      <c r="HFO264" s="297"/>
      <c r="HFP264" s="297"/>
      <c r="HFQ264" s="297"/>
      <c r="HFR264" s="297"/>
      <c r="HFS264" s="297"/>
      <c r="HFT264" s="297"/>
      <c r="HFU264" s="297"/>
      <c r="HFV264" s="297"/>
      <c r="HFW264" s="297"/>
      <c r="HFX264" s="297"/>
      <c r="HFY264" s="297"/>
      <c r="HFZ264" s="297"/>
      <c r="HGA264" s="297"/>
      <c r="HGB264" s="297"/>
      <c r="HGC264" s="297"/>
      <c r="HGD264" s="297"/>
      <c r="HGE264" s="297"/>
      <c r="HGF264" s="297"/>
      <c r="HGG264" s="297"/>
      <c r="HGH264" s="297"/>
      <c r="HGI264" s="297"/>
      <c r="HGJ264" s="297"/>
      <c r="HGK264" s="297"/>
      <c r="HGL264" s="297"/>
      <c r="HGM264" s="297"/>
      <c r="HGN264" s="297"/>
      <c r="HGO264" s="297"/>
      <c r="HGP264" s="297"/>
      <c r="HGQ264" s="297"/>
      <c r="HGR264" s="297"/>
      <c r="HGS264" s="297"/>
      <c r="HGT264" s="297"/>
      <c r="HGU264" s="297"/>
      <c r="HGV264" s="297"/>
      <c r="HGW264" s="297"/>
      <c r="HGX264" s="297"/>
      <c r="HGY264" s="297"/>
      <c r="HGZ264" s="297"/>
      <c r="HHA264" s="297"/>
      <c r="HHB264" s="297"/>
      <c r="HHC264" s="297"/>
      <c r="HHD264" s="297"/>
      <c r="HHE264" s="297"/>
      <c r="HHF264" s="297"/>
      <c r="HHG264" s="297"/>
      <c r="HHH264" s="297"/>
      <c r="HHI264" s="297"/>
      <c r="HHJ264" s="297"/>
      <c r="HHK264" s="297"/>
      <c r="HHL264" s="297"/>
      <c r="HHM264" s="297"/>
      <c r="HHN264" s="297"/>
      <c r="HHO264" s="297"/>
      <c r="HHP264" s="297"/>
      <c r="HHQ264" s="297"/>
      <c r="HHR264" s="297"/>
      <c r="HHS264" s="297"/>
      <c r="HHT264" s="297"/>
      <c r="HHU264" s="297"/>
      <c r="HHV264" s="297"/>
      <c r="HHW264" s="297"/>
      <c r="HHX264" s="297"/>
      <c r="HHY264" s="297"/>
      <c r="HHZ264" s="297"/>
      <c r="HIA264" s="297"/>
      <c r="HIB264" s="297"/>
      <c r="HIC264" s="297"/>
      <c r="HID264" s="297"/>
      <c r="HIE264" s="297"/>
      <c r="HIF264" s="297"/>
      <c r="HIG264" s="297"/>
      <c r="HIH264" s="297"/>
      <c r="HII264" s="297"/>
      <c r="HIJ264" s="297"/>
      <c r="HIK264" s="297"/>
      <c r="HIL264" s="297"/>
      <c r="HIM264" s="297"/>
      <c r="HIN264" s="297"/>
      <c r="HIO264" s="297"/>
      <c r="HIP264" s="297"/>
      <c r="HIQ264" s="297"/>
      <c r="HIR264" s="297"/>
      <c r="HIS264" s="297"/>
      <c r="HIT264" s="297"/>
      <c r="HIU264" s="297"/>
      <c r="HIV264" s="297"/>
      <c r="HIW264" s="297"/>
      <c r="HIX264" s="297"/>
      <c r="HIY264" s="297"/>
      <c r="HIZ264" s="297"/>
      <c r="HJA264" s="297"/>
      <c r="HJB264" s="297"/>
      <c r="HJC264" s="297"/>
      <c r="HJD264" s="297"/>
      <c r="HJE264" s="297"/>
      <c r="HJF264" s="297"/>
      <c r="HJG264" s="297"/>
      <c r="HJH264" s="297"/>
      <c r="HJI264" s="297"/>
      <c r="HJJ264" s="297"/>
      <c r="HJK264" s="297"/>
      <c r="HJL264" s="297"/>
      <c r="HJM264" s="297"/>
      <c r="HJN264" s="297"/>
      <c r="HJO264" s="297"/>
      <c r="HJP264" s="297"/>
      <c r="HJQ264" s="297"/>
      <c r="HJR264" s="297"/>
      <c r="HJS264" s="297"/>
      <c r="HJT264" s="297"/>
      <c r="HJU264" s="297"/>
      <c r="HJV264" s="297"/>
      <c r="HJW264" s="297"/>
      <c r="HJX264" s="297"/>
      <c r="HJY264" s="297"/>
      <c r="HJZ264" s="297"/>
      <c r="HKA264" s="297"/>
      <c r="HKB264" s="297"/>
      <c r="HKC264" s="297"/>
      <c r="HKD264" s="297"/>
      <c r="HKE264" s="297"/>
      <c r="HKF264" s="297"/>
      <c r="HKG264" s="297"/>
      <c r="HKH264" s="297"/>
      <c r="HKI264" s="297"/>
      <c r="HKJ264" s="297"/>
      <c r="HKK264" s="297"/>
      <c r="HKL264" s="297"/>
      <c r="HKM264" s="297"/>
      <c r="HKN264" s="297"/>
      <c r="HKO264" s="297"/>
      <c r="HKP264" s="297"/>
      <c r="HKQ264" s="297"/>
      <c r="HKR264" s="297"/>
      <c r="HKS264" s="297"/>
      <c r="HKT264" s="297"/>
      <c r="HKU264" s="297"/>
      <c r="HKV264" s="297"/>
      <c r="HKW264" s="297"/>
      <c r="HKX264" s="297"/>
      <c r="HKY264" s="297"/>
      <c r="HKZ264" s="297"/>
      <c r="HLA264" s="297"/>
      <c r="HLB264" s="297"/>
      <c r="HLC264" s="297"/>
      <c r="HLD264" s="297"/>
      <c r="HLE264" s="297"/>
      <c r="HLF264" s="297"/>
      <c r="HLG264" s="297"/>
      <c r="HLH264" s="297"/>
      <c r="HLI264" s="297"/>
      <c r="HLJ264" s="297"/>
      <c r="HLK264" s="297"/>
      <c r="HLL264" s="297"/>
      <c r="HLM264" s="297"/>
      <c r="HLN264" s="297"/>
      <c r="HLO264" s="297"/>
      <c r="HLP264" s="297"/>
      <c r="HLQ264" s="297"/>
      <c r="HLR264" s="297"/>
      <c r="HLS264" s="297"/>
      <c r="HLT264" s="297"/>
      <c r="HLU264" s="297"/>
      <c r="HLV264" s="297"/>
      <c r="HLW264" s="297"/>
      <c r="HLX264" s="297"/>
      <c r="HLY264" s="297"/>
      <c r="HLZ264" s="297"/>
      <c r="HMA264" s="297"/>
      <c r="HMB264" s="297"/>
      <c r="HMC264" s="297"/>
      <c r="HMD264" s="297"/>
      <c r="HME264" s="297"/>
      <c r="HMF264" s="297"/>
      <c r="HMG264" s="297"/>
      <c r="HMH264" s="297"/>
      <c r="HMI264" s="297"/>
      <c r="HMJ264" s="297"/>
      <c r="HMK264" s="297"/>
      <c r="HML264" s="297"/>
      <c r="HMM264" s="297"/>
      <c r="HMN264" s="297"/>
      <c r="HMO264" s="297"/>
      <c r="HMP264" s="297"/>
      <c r="HMQ264" s="297"/>
      <c r="HMR264" s="297"/>
      <c r="HMS264" s="297"/>
      <c r="HMT264" s="297"/>
      <c r="HMU264" s="297"/>
      <c r="HMV264" s="297"/>
      <c r="HMW264" s="297"/>
      <c r="HMX264" s="297"/>
      <c r="HMY264" s="297"/>
      <c r="HMZ264" s="297"/>
      <c r="HNA264" s="297"/>
      <c r="HNB264" s="297"/>
      <c r="HNC264" s="297"/>
      <c r="HND264" s="297"/>
      <c r="HNE264" s="297"/>
      <c r="HNF264" s="297"/>
      <c r="HNG264" s="297"/>
      <c r="HNH264" s="297"/>
      <c r="HNI264" s="297"/>
      <c r="HNJ264" s="297"/>
      <c r="HNK264" s="297"/>
      <c r="HNL264" s="297"/>
      <c r="HNM264" s="297"/>
      <c r="HNN264" s="297"/>
      <c r="HNO264" s="297"/>
      <c r="HNP264" s="297"/>
      <c r="HNQ264" s="297"/>
      <c r="HNR264" s="297"/>
      <c r="HNS264" s="297"/>
      <c r="HNT264" s="297"/>
      <c r="HNU264" s="297"/>
      <c r="HNV264" s="297"/>
      <c r="HNW264" s="297"/>
      <c r="HNX264" s="297"/>
      <c r="HNY264" s="297"/>
      <c r="HNZ264" s="297"/>
      <c r="HOA264" s="297"/>
      <c r="HOB264" s="297"/>
      <c r="HOC264" s="297"/>
      <c r="HOD264" s="297"/>
      <c r="HOE264" s="297"/>
      <c r="HOF264" s="297"/>
      <c r="HOG264" s="297"/>
      <c r="HOH264" s="297"/>
      <c r="HOI264" s="297"/>
      <c r="HOJ264" s="297"/>
      <c r="HOK264" s="297"/>
      <c r="HOL264" s="297"/>
      <c r="HOM264" s="297"/>
      <c r="HON264" s="297"/>
      <c r="HOO264" s="297"/>
      <c r="HOP264" s="297"/>
      <c r="HOQ264" s="297"/>
      <c r="HOR264" s="297"/>
      <c r="HOS264" s="297"/>
      <c r="HOT264" s="297"/>
      <c r="HOU264" s="297"/>
      <c r="HOV264" s="297"/>
      <c r="HOW264" s="297"/>
      <c r="HOX264" s="297"/>
      <c r="HOY264" s="297"/>
      <c r="HOZ264" s="297"/>
      <c r="HPA264" s="297"/>
      <c r="HPB264" s="297"/>
      <c r="HPC264" s="297"/>
      <c r="HPD264" s="297"/>
      <c r="HPE264" s="297"/>
      <c r="HPF264" s="297"/>
      <c r="HPG264" s="297"/>
      <c r="HPH264" s="297"/>
      <c r="HPI264" s="297"/>
      <c r="HPJ264" s="297"/>
      <c r="HPK264" s="297"/>
      <c r="HPL264" s="297"/>
      <c r="HPM264" s="297"/>
      <c r="HPN264" s="297"/>
      <c r="HPO264" s="297"/>
      <c r="HPP264" s="297"/>
      <c r="HPQ264" s="297"/>
      <c r="HPR264" s="297"/>
      <c r="HPS264" s="297"/>
      <c r="HPT264" s="297"/>
      <c r="HPU264" s="297"/>
      <c r="HPV264" s="297"/>
      <c r="HPW264" s="297"/>
      <c r="HPX264" s="297"/>
      <c r="HPY264" s="297"/>
      <c r="HPZ264" s="297"/>
      <c r="HQA264" s="297"/>
      <c r="HQB264" s="297"/>
      <c r="HQC264" s="297"/>
      <c r="HQD264" s="297"/>
      <c r="HQE264" s="297"/>
      <c r="HQF264" s="297"/>
      <c r="HQG264" s="297"/>
      <c r="HQH264" s="297"/>
      <c r="HQI264" s="297"/>
      <c r="HQJ264" s="297"/>
      <c r="HQK264" s="297"/>
      <c r="HQL264" s="297"/>
      <c r="HQM264" s="297"/>
      <c r="HQN264" s="297"/>
      <c r="HQO264" s="297"/>
      <c r="HQP264" s="297"/>
      <c r="HQQ264" s="297"/>
      <c r="HQR264" s="297"/>
      <c r="HQS264" s="297"/>
      <c r="HQT264" s="297"/>
      <c r="HQU264" s="297"/>
      <c r="HQV264" s="297"/>
      <c r="HQW264" s="297"/>
      <c r="HQX264" s="297"/>
      <c r="HQY264" s="297"/>
      <c r="HQZ264" s="297"/>
      <c r="HRA264" s="297"/>
      <c r="HRB264" s="297"/>
      <c r="HRC264" s="297"/>
      <c r="HRD264" s="297"/>
      <c r="HRE264" s="297"/>
      <c r="HRF264" s="297"/>
      <c r="HRG264" s="297"/>
      <c r="HRH264" s="297"/>
      <c r="HRI264" s="297"/>
      <c r="HRJ264" s="297"/>
      <c r="HRK264" s="297"/>
      <c r="HRL264" s="297"/>
      <c r="HRM264" s="297"/>
      <c r="HRN264" s="297"/>
      <c r="HRO264" s="297"/>
      <c r="HRP264" s="297"/>
      <c r="HRQ264" s="297"/>
      <c r="HRR264" s="297"/>
      <c r="HRS264" s="297"/>
      <c r="HRT264" s="297"/>
      <c r="HRU264" s="297"/>
      <c r="HRV264" s="297"/>
      <c r="HRW264" s="297"/>
      <c r="HRX264" s="297"/>
      <c r="HRY264" s="297"/>
      <c r="HRZ264" s="297"/>
      <c r="HSA264" s="297"/>
      <c r="HSB264" s="297"/>
      <c r="HSC264" s="297"/>
      <c r="HSD264" s="297"/>
      <c r="HSE264" s="297"/>
      <c r="HSF264" s="297"/>
      <c r="HSG264" s="297"/>
      <c r="HSH264" s="297"/>
      <c r="HSI264" s="297"/>
      <c r="HSJ264" s="297"/>
      <c r="HSK264" s="297"/>
      <c r="HSL264" s="297"/>
      <c r="HSM264" s="297"/>
      <c r="HSN264" s="297"/>
      <c r="HSO264" s="297"/>
      <c r="HSP264" s="297"/>
      <c r="HSQ264" s="297"/>
      <c r="HSR264" s="297"/>
      <c r="HSS264" s="297"/>
      <c r="HST264" s="297"/>
      <c r="HSU264" s="297"/>
      <c r="HSV264" s="297"/>
      <c r="HSW264" s="297"/>
      <c r="HSX264" s="297"/>
      <c r="HSY264" s="297"/>
      <c r="HSZ264" s="297"/>
      <c r="HTA264" s="297"/>
      <c r="HTB264" s="297"/>
      <c r="HTC264" s="297"/>
      <c r="HTD264" s="297"/>
      <c r="HTE264" s="297"/>
      <c r="HTF264" s="297"/>
      <c r="HTG264" s="297"/>
      <c r="HTH264" s="297"/>
      <c r="HTI264" s="297"/>
      <c r="HTJ264" s="297"/>
      <c r="HTK264" s="297"/>
      <c r="HTL264" s="297"/>
      <c r="HTM264" s="297"/>
      <c r="HTN264" s="297"/>
      <c r="HTO264" s="297"/>
      <c r="HTP264" s="297"/>
      <c r="HTQ264" s="297"/>
      <c r="HTR264" s="297"/>
      <c r="HTS264" s="297"/>
      <c r="HTT264" s="297"/>
      <c r="HTU264" s="297"/>
      <c r="HTV264" s="297"/>
      <c r="HTW264" s="297"/>
      <c r="HTX264" s="297"/>
      <c r="HTY264" s="297"/>
      <c r="HTZ264" s="297"/>
      <c r="HUA264" s="297"/>
      <c r="HUB264" s="297"/>
      <c r="HUC264" s="297"/>
      <c r="HUD264" s="297"/>
      <c r="HUE264" s="297"/>
      <c r="HUF264" s="297"/>
      <c r="HUG264" s="297"/>
      <c r="HUH264" s="297"/>
      <c r="HUI264" s="297"/>
      <c r="HUJ264" s="297"/>
      <c r="HUK264" s="297"/>
      <c r="HUL264" s="297"/>
      <c r="HUM264" s="297"/>
      <c r="HUN264" s="297"/>
      <c r="HUO264" s="297"/>
      <c r="HUP264" s="297"/>
      <c r="HUQ264" s="297"/>
      <c r="HUR264" s="297"/>
      <c r="HUS264" s="297"/>
      <c r="HUT264" s="297"/>
      <c r="HUU264" s="297"/>
      <c r="HUV264" s="297"/>
      <c r="HUW264" s="297"/>
      <c r="HUX264" s="297"/>
      <c r="HUY264" s="297"/>
      <c r="HUZ264" s="297"/>
      <c r="HVA264" s="297"/>
      <c r="HVB264" s="297"/>
      <c r="HVC264" s="297"/>
      <c r="HVD264" s="297"/>
      <c r="HVE264" s="297"/>
      <c r="HVF264" s="297"/>
      <c r="HVG264" s="297"/>
      <c r="HVH264" s="297"/>
      <c r="HVI264" s="297"/>
      <c r="HVJ264" s="297"/>
      <c r="HVK264" s="297"/>
      <c r="HVL264" s="297"/>
      <c r="HVM264" s="297"/>
      <c r="HVN264" s="297"/>
      <c r="HVO264" s="297"/>
      <c r="HVP264" s="297"/>
      <c r="HVQ264" s="297"/>
      <c r="HVR264" s="297"/>
      <c r="HVS264" s="297"/>
      <c r="HVT264" s="297"/>
      <c r="HVU264" s="297"/>
      <c r="HVV264" s="297"/>
      <c r="HVW264" s="297"/>
      <c r="HVX264" s="297"/>
      <c r="HVY264" s="297"/>
      <c r="HVZ264" s="297"/>
      <c r="HWA264" s="297"/>
      <c r="HWB264" s="297"/>
      <c r="HWC264" s="297"/>
      <c r="HWD264" s="297"/>
      <c r="HWE264" s="297"/>
      <c r="HWF264" s="297"/>
      <c r="HWG264" s="297"/>
      <c r="HWH264" s="297"/>
      <c r="HWI264" s="297"/>
      <c r="HWJ264" s="297"/>
      <c r="HWK264" s="297"/>
      <c r="HWL264" s="297"/>
      <c r="HWM264" s="297"/>
      <c r="HWN264" s="297"/>
      <c r="HWO264" s="297"/>
      <c r="HWP264" s="297"/>
      <c r="HWQ264" s="297"/>
      <c r="HWR264" s="297"/>
      <c r="HWS264" s="297"/>
      <c r="HWT264" s="297"/>
      <c r="HWU264" s="297"/>
      <c r="HWV264" s="297"/>
      <c r="HWW264" s="297"/>
      <c r="HWX264" s="297"/>
      <c r="HWY264" s="297"/>
      <c r="HWZ264" s="297"/>
      <c r="HXA264" s="297"/>
      <c r="HXB264" s="297"/>
      <c r="HXC264" s="297"/>
      <c r="HXD264" s="297"/>
      <c r="HXE264" s="297"/>
      <c r="HXF264" s="297"/>
      <c r="HXG264" s="297"/>
      <c r="HXH264" s="297"/>
      <c r="HXI264" s="297"/>
      <c r="HXJ264" s="297"/>
      <c r="HXK264" s="297"/>
      <c r="HXL264" s="297"/>
      <c r="HXM264" s="297"/>
      <c r="HXN264" s="297"/>
      <c r="HXO264" s="297"/>
      <c r="HXP264" s="297"/>
      <c r="HXQ264" s="297"/>
      <c r="HXR264" s="297"/>
      <c r="HXS264" s="297"/>
      <c r="HXT264" s="297"/>
      <c r="HXU264" s="297"/>
      <c r="HXV264" s="297"/>
      <c r="HXW264" s="297"/>
      <c r="HXX264" s="297"/>
      <c r="HXY264" s="297"/>
      <c r="HXZ264" s="297"/>
      <c r="HYA264" s="297"/>
      <c r="HYB264" s="297"/>
      <c r="HYC264" s="297"/>
      <c r="HYD264" s="297"/>
      <c r="HYE264" s="297"/>
      <c r="HYF264" s="297"/>
      <c r="HYG264" s="297"/>
      <c r="HYH264" s="297"/>
      <c r="HYI264" s="297"/>
      <c r="HYJ264" s="297"/>
      <c r="HYK264" s="297"/>
      <c r="HYL264" s="297"/>
      <c r="HYM264" s="297"/>
      <c r="HYN264" s="297"/>
      <c r="HYO264" s="297"/>
      <c r="HYP264" s="297"/>
      <c r="HYQ264" s="297"/>
      <c r="HYR264" s="297"/>
      <c r="HYS264" s="297"/>
      <c r="HYT264" s="297"/>
      <c r="HYU264" s="297"/>
      <c r="HYV264" s="297"/>
      <c r="HYW264" s="297"/>
      <c r="HYX264" s="297"/>
      <c r="HYY264" s="297"/>
      <c r="HYZ264" s="297"/>
      <c r="HZA264" s="297"/>
      <c r="HZB264" s="297"/>
      <c r="HZC264" s="297"/>
      <c r="HZD264" s="297"/>
      <c r="HZE264" s="297"/>
      <c r="HZF264" s="297"/>
      <c r="HZG264" s="297"/>
      <c r="HZH264" s="297"/>
      <c r="HZI264" s="297"/>
      <c r="HZJ264" s="297"/>
      <c r="HZK264" s="297"/>
      <c r="HZL264" s="297"/>
      <c r="HZM264" s="297"/>
      <c r="HZN264" s="297"/>
      <c r="HZO264" s="297"/>
      <c r="HZP264" s="297"/>
      <c r="HZQ264" s="297"/>
      <c r="HZR264" s="297"/>
      <c r="HZS264" s="297"/>
      <c r="HZT264" s="297"/>
      <c r="HZU264" s="297"/>
      <c r="HZV264" s="297"/>
      <c r="HZW264" s="297"/>
      <c r="HZX264" s="297"/>
      <c r="HZY264" s="297"/>
      <c r="HZZ264" s="297"/>
      <c r="IAA264" s="297"/>
      <c r="IAB264" s="297"/>
      <c r="IAC264" s="297"/>
      <c r="IAD264" s="297"/>
      <c r="IAE264" s="297"/>
      <c r="IAF264" s="297"/>
      <c r="IAG264" s="297"/>
      <c r="IAH264" s="297"/>
      <c r="IAI264" s="297"/>
      <c r="IAJ264" s="297"/>
      <c r="IAK264" s="297"/>
      <c r="IAL264" s="297"/>
      <c r="IAM264" s="297"/>
      <c r="IAN264" s="297"/>
      <c r="IAO264" s="297"/>
      <c r="IAP264" s="297"/>
      <c r="IAQ264" s="297"/>
      <c r="IAR264" s="297"/>
      <c r="IAS264" s="297"/>
      <c r="IAT264" s="297"/>
      <c r="IAU264" s="297"/>
      <c r="IAV264" s="297"/>
      <c r="IAW264" s="297"/>
      <c r="IAX264" s="297"/>
      <c r="IAY264" s="297"/>
      <c r="IAZ264" s="297"/>
      <c r="IBA264" s="297"/>
      <c r="IBB264" s="297"/>
      <c r="IBC264" s="297"/>
      <c r="IBD264" s="297"/>
      <c r="IBE264" s="297"/>
      <c r="IBF264" s="297"/>
      <c r="IBG264" s="297"/>
      <c r="IBH264" s="297"/>
      <c r="IBI264" s="297"/>
      <c r="IBJ264" s="297"/>
      <c r="IBK264" s="297"/>
      <c r="IBL264" s="297"/>
      <c r="IBM264" s="297"/>
      <c r="IBN264" s="297"/>
      <c r="IBO264" s="297"/>
      <c r="IBP264" s="297"/>
      <c r="IBQ264" s="297"/>
      <c r="IBR264" s="297"/>
      <c r="IBS264" s="297"/>
      <c r="IBT264" s="297"/>
      <c r="IBU264" s="297"/>
      <c r="IBV264" s="297"/>
      <c r="IBW264" s="297"/>
      <c r="IBX264" s="297"/>
      <c r="IBY264" s="297"/>
      <c r="IBZ264" s="297"/>
      <c r="ICA264" s="297"/>
      <c r="ICB264" s="297"/>
      <c r="ICC264" s="297"/>
      <c r="ICD264" s="297"/>
      <c r="ICE264" s="297"/>
      <c r="ICF264" s="297"/>
      <c r="ICG264" s="297"/>
      <c r="ICH264" s="297"/>
      <c r="ICI264" s="297"/>
      <c r="ICJ264" s="297"/>
      <c r="ICK264" s="297"/>
      <c r="ICL264" s="297"/>
      <c r="ICM264" s="297"/>
      <c r="ICN264" s="297"/>
      <c r="ICO264" s="297"/>
      <c r="ICP264" s="297"/>
      <c r="ICQ264" s="297"/>
      <c r="ICR264" s="297"/>
      <c r="ICS264" s="297"/>
      <c r="ICT264" s="297"/>
      <c r="ICU264" s="297"/>
      <c r="ICV264" s="297"/>
      <c r="ICW264" s="297"/>
      <c r="ICX264" s="297"/>
      <c r="ICY264" s="297"/>
      <c r="ICZ264" s="297"/>
      <c r="IDA264" s="297"/>
      <c r="IDB264" s="297"/>
      <c r="IDC264" s="297"/>
      <c r="IDD264" s="297"/>
      <c r="IDE264" s="297"/>
      <c r="IDF264" s="297"/>
      <c r="IDG264" s="297"/>
      <c r="IDH264" s="297"/>
      <c r="IDI264" s="297"/>
      <c r="IDJ264" s="297"/>
      <c r="IDK264" s="297"/>
      <c r="IDL264" s="297"/>
      <c r="IDM264" s="297"/>
      <c r="IDN264" s="297"/>
      <c r="IDO264" s="297"/>
      <c r="IDP264" s="297"/>
      <c r="IDQ264" s="297"/>
      <c r="IDR264" s="297"/>
      <c r="IDS264" s="297"/>
      <c r="IDT264" s="297"/>
      <c r="IDU264" s="297"/>
      <c r="IDV264" s="297"/>
      <c r="IDW264" s="297"/>
      <c r="IDX264" s="297"/>
      <c r="IDY264" s="297"/>
      <c r="IDZ264" s="297"/>
      <c r="IEA264" s="297"/>
      <c r="IEB264" s="297"/>
      <c r="IEC264" s="297"/>
      <c r="IED264" s="297"/>
      <c r="IEE264" s="297"/>
      <c r="IEF264" s="297"/>
      <c r="IEG264" s="297"/>
      <c r="IEH264" s="297"/>
      <c r="IEI264" s="297"/>
      <c r="IEJ264" s="297"/>
      <c r="IEK264" s="297"/>
      <c r="IEL264" s="297"/>
      <c r="IEM264" s="297"/>
      <c r="IEN264" s="297"/>
      <c r="IEO264" s="297"/>
      <c r="IEP264" s="297"/>
      <c r="IEQ264" s="297"/>
      <c r="IER264" s="297"/>
      <c r="IES264" s="297"/>
      <c r="IET264" s="297"/>
      <c r="IEU264" s="297"/>
      <c r="IEV264" s="297"/>
      <c r="IEW264" s="297"/>
      <c r="IEX264" s="297"/>
      <c r="IEY264" s="297"/>
      <c r="IEZ264" s="297"/>
      <c r="IFA264" s="297"/>
      <c r="IFB264" s="297"/>
      <c r="IFC264" s="297"/>
      <c r="IFD264" s="297"/>
      <c r="IFE264" s="297"/>
      <c r="IFF264" s="297"/>
      <c r="IFG264" s="297"/>
      <c r="IFH264" s="297"/>
      <c r="IFI264" s="297"/>
      <c r="IFJ264" s="297"/>
      <c r="IFK264" s="297"/>
      <c r="IFL264" s="297"/>
      <c r="IFM264" s="297"/>
      <c r="IFN264" s="297"/>
      <c r="IFO264" s="297"/>
      <c r="IFP264" s="297"/>
      <c r="IFQ264" s="297"/>
      <c r="IFR264" s="297"/>
      <c r="IFS264" s="297"/>
      <c r="IFT264" s="297"/>
      <c r="IFU264" s="297"/>
      <c r="IFV264" s="297"/>
      <c r="IFW264" s="297"/>
      <c r="IFX264" s="297"/>
      <c r="IFY264" s="297"/>
      <c r="IFZ264" s="297"/>
      <c r="IGA264" s="297"/>
      <c r="IGB264" s="297"/>
      <c r="IGC264" s="297"/>
      <c r="IGD264" s="297"/>
      <c r="IGE264" s="297"/>
      <c r="IGF264" s="297"/>
      <c r="IGG264" s="297"/>
      <c r="IGH264" s="297"/>
      <c r="IGI264" s="297"/>
      <c r="IGJ264" s="297"/>
      <c r="IGK264" s="297"/>
      <c r="IGL264" s="297"/>
      <c r="IGM264" s="297"/>
      <c r="IGN264" s="297"/>
      <c r="IGO264" s="297"/>
      <c r="IGP264" s="297"/>
      <c r="IGQ264" s="297"/>
      <c r="IGR264" s="297"/>
      <c r="IGS264" s="297"/>
      <c r="IGT264" s="297"/>
      <c r="IGU264" s="297"/>
      <c r="IGV264" s="297"/>
      <c r="IGW264" s="297"/>
      <c r="IGX264" s="297"/>
      <c r="IGY264" s="297"/>
      <c r="IGZ264" s="297"/>
      <c r="IHA264" s="297"/>
      <c r="IHB264" s="297"/>
      <c r="IHC264" s="297"/>
      <c r="IHD264" s="297"/>
      <c r="IHE264" s="297"/>
      <c r="IHF264" s="297"/>
      <c r="IHG264" s="297"/>
      <c r="IHH264" s="297"/>
      <c r="IHI264" s="297"/>
      <c r="IHJ264" s="297"/>
      <c r="IHK264" s="297"/>
      <c r="IHL264" s="297"/>
      <c r="IHM264" s="297"/>
      <c r="IHN264" s="297"/>
      <c r="IHO264" s="297"/>
      <c r="IHP264" s="297"/>
      <c r="IHQ264" s="297"/>
      <c r="IHR264" s="297"/>
      <c r="IHS264" s="297"/>
      <c r="IHT264" s="297"/>
      <c r="IHU264" s="297"/>
      <c r="IHV264" s="297"/>
      <c r="IHW264" s="297"/>
      <c r="IHX264" s="297"/>
      <c r="IHY264" s="297"/>
      <c r="IHZ264" s="297"/>
      <c r="IIA264" s="297"/>
      <c r="IIB264" s="297"/>
      <c r="IIC264" s="297"/>
      <c r="IID264" s="297"/>
      <c r="IIE264" s="297"/>
      <c r="IIF264" s="297"/>
      <c r="IIG264" s="297"/>
      <c r="IIH264" s="297"/>
      <c r="III264" s="297"/>
      <c r="IIJ264" s="297"/>
      <c r="IIK264" s="297"/>
      <c r="IIL264" s="297"/>
      <c r="IIM264" s="297"/>
      <c r="IIN264" s="297"/>
      <c r="IIO264" s="297"/>
      <c r="IIP264" s="297"/>
      <c r="IIQ264" s="297"/>
      <c r="IIR264" s="297"/>
      <c r="IIS264" s="297"/>
      <c r="IIT264" s="297"/>
      <c r="IIU264" s="297"/>
      <c r="IIV264" s="297"/>
      <c r="IIW264" s="297"/>
      <c r="IIX264" s="297"/>
      <c r="IIY264" s="297"/>
      <c r="IIZ264" s="297"/>
      <c r="IJA264" s="297"/>
      <c r="IJB264" s="297"/>
      <c r="IJC264" s="297"/>
      <c r="IJD264" s="297"/>
      <c r="IJE264" s="297"/>
      <c r="IJF264" s="297"/>
      <c r="IJG264" s="297"/>
      <c r="IJH264" s="297"/>
      <c r="IJI264" s="297"/>
      <c r="IJJ264" s="297"/>
      <c r="IJK264" s="297"/>
      <c r="IJL264" s="297"/>
      <c r="IJM264" s="297"/>
      <c r="IJN264" s="297"/>
      <c r="IJO264" s="297"/>
      <c r="IJP264" s="297"/>
      <c r="IJQ264" s="297"/>
      <c r="IJR264" s="297"/>
      <c r="IJS264" s="297"/>
      <c r="IJT264" s="297"/>
      <c r="IJU264" s="297"/>
      <c r="IJV264" s="297"/>
      <c r="IJW264" s="297"/>
      <c r="IJX264" s="297"/>
      <c r="IJY264" s="297"/>
      <c r="IJZ264" s="297"/>
      <c r="IKA264" s="297"/>
      <c r="IKB264" s="297"/>
      <c r="IKC264" s="297"/>
      <c r="IKD264" s="297"/>
      <c r="IKE264" s="297"/>
      <c r="IKF264" s="297"/>
      <c r="IKG264" s="297"/>
      <c r="IKH264" s="297"/>
      <c r="IKI264" s="297"/>
      <c r="IKJ264" s="297"/>
      <c r="IKK264" s="297"/>
      <c r="IKL264" s="297"/>
      <c r="IKM264" s="297"/>
      <c r="IKN264" s="297"/>
      <c r="IKO264" s="297"/>
      <c r="IKP264" s="297"/>
      <c r="IKQ264" s="297"/>
      <c r="IKR264" s="297"/>
      <c r="IKS264" s="297"/>
      <c r="IKT264" s="297"/>
      <c r="IKU264" s="297"/>
      <c r="IKV264" s="297"/>
      <c r="IKW264" s="297"/>
      <c r="IKX264" s="297"/>
      <c r="IKY264" s="297"/>
      <c r="IKZ264" s="297"/>
      <c r="ILA264" s="297"/>
      <c r="ILB264" s="297"/>
      <c r="ILC264" s="297"/>
      <c r="ILD264" s="297"/>
      <c r="ILE264" s="297"/>
      <c r="ILF264" s="297"/>
      <c r="ILG264" s="297"/>
      <c r="ILH264" s="297"/>
      <c r="ILI264" s="297"/>
      <c r="ILJ264" s="297"/>
      <c r="ILK264" s="297"/>
      <c r="ILL264" s="297"/>
      <c r="ILM264" s="297"/>
      <c r="ILN264" s="297"/>
      <c r="ILO264" s="297"/>
      <c r="ILP264" s="297"/>
      <c r="ILQ264" s="297"/>
      <c r="ILR264" s="297"/>
      <c r="ILS264" s="297"/>
      <c r="ILT264" s="297"/>
      <c r="ILU264" s="297"/>
      <c r="ILV264" s="297"/>
      <c r="ILW264" s="297"/>
      <c r="ILX264" s="297"/>
      <c r="ILY264" s="297"/>
      <c r="ILZ264" s="297"/>
      <c r="IMA264" s="297"/>
      <c r="IMB264" s="297"/>
      <c r="IMC264" s="297"/>
      <c r="IMD264" s="297"/>
      <c r="IME264" s="297"/>
      <c r="IMF264" s="297"/>
      <c r="IMG264" s="297"/>
      <c r="IMH264" s="297"/>
      <c r="IMI264" s="297"/>
      <c r="IMJ264" s="297"/>
      <c r="IMK264" s="297"/>
      <c r="IML264" s="297"/>
      <c r="IMM264" s="297"/>
      <c r="IMN264" s="297"/>
      <c r="IMO264" s="297"/>
      <c r="IMP264" s="297"/>
      <c r="IMQ264" s="297"/>
      <c r="IMR264" s="297"/>
      <c r="IMS264" s="297"/>
      <c r="IMT264" s="297"/>
      <c r="IMU264" s="297"/>
      <c r="IMV264" s="297"/>
      <c r="IMW264" s="297"/>
      <c r="IMX264" s="297"/>
      <c r="IMY264" s="297"/>
      <c r="IMZ264" s="297"/>
      <c r="INA264" s="297"/>
      <c r="INB264" s="297"/>
      <c r="INC264" s="297"/>
      <c r="IND264" s="297"/>
      <c r="INE264" s="297"/>
      <c r="INF264" s="297"/>
      <c r="ING264" s="297"/>
      <c r="INH264" s="297"/>
      <c r="INI264" s="297"/>
      <c r="INJ264" s="297"/>
      <c r="INK264" s="297"/>
      <c r="INL264" s="297"/>
      <c r="INM264" s="297"/>
      <c r="INN264" s="297"/>
      <c r="INO264" s="297"/>
      <c r="INP264" s="297"/>
      <c r="INQ264" s="297"/>
      <c r="INR264" s="297"/>
      <c r="INS264" s="297"/>
      <c r="INT264" s="297"/>
      <c r="INU264" s="297"/>
      <c r="INV264" s="297"/>
      <c r="INW264" s="297"/>
      <c r="INX264" s="297"/>
      <c r="INY264" s="297"/>
      <c r="INZ264" s="297"/>
      <c r="IOA264" s="297"/>
      <c r="IOB264" s="297"/>
      <c r="IOC264" s="297"/>
      <c r="IOD264" s="297"/>
      <c r="IOE264" s="297"/>
      <c r="IOF264" s="297"/>
      <c r="IOG264" s="297"/>
      <c r="IOH264" s="297"/>
      <c r="IOI264" s="297"/>
      <c r="IOJ264" s="297"/>
      <c r="IOK264" s="297"/>
      <c r="IOL264" s="297"/>
      <c r="IOM264" s="297"/>
      <c r="ION264" s="297"/>
      <c r="IOO264" s="297"/>
      <c r="IOP264" s="297"/>
      <c r="IOQ264" s="297"/>
      <c r="IOR264" s="297"/>
      <c r="IOS264" s="297"/>
      <c r="IOT264" s="297"/>
      <c r="IOU264" s="297"/>
      <c r="IOV264" s="297"/>
      <c r="IOW264" s="297"/>
      <c r="IOX264" s="297"/>
      <c r="IOY264" s="297"/>
      <c r="IOZ264" s="297"/>
      <c r="IPA264" s="297"/>
      <c r="IPB264" s="297"/>
      <c r="IPC264" s="297"/>
      <c r="IPD264" s="297"/>
      <c r="IPE264" s="297"/>
      <c r="IPF264" s="297"/>
      <c r="IPG264" s="297"/>
      <c r="IPH264" s="297"/>
      <c r="IPI264" s="297"/>
      <c r="IPJ264" s="297"/>
      <c r="IPK264" s="297"/>
      <c r="IPL264" s="297"/>
      <c r="IPM264" s="297"/>
      <c r="IPN264" s="297"/>
      <c r="IPO264" s="297"/>
      <c r="IPP264" s="297"/>
      <c r="IPQ264" s="297"/>
      <c r="IPR264" s="297"/>
      <c r="IPS264" s="297"/>
      <c r="IPT264" s="297"/>
      <c r="IPU264" s="297"/>
      <c r="IPV264" s="297"/>
      <c r="IPW264" s="297"/>
      <c r="IPX264" s="297"/>
      <c r="IPY264" s="297"/>
      <c r="IPZ264" s="297"/>
      <c r="IQA264" s="297"/>
      <c r="IQB264" s="297"/>
      <c r="IQC264" s="297"/>
      <c r="IQD264" s="297"/>
      <c r="IQE264" s="297"/>
      <c r="IQF264" s="297"/>
      <c r="IQG264" s="297"/>
      <c r="IQH264" s="297"/>
      <c r="IQI264" s="297"/>
      <c r="IQJ264" s="297"/>
      <c r="IQK264" s="297"/>
      <c r="IQL264" s="297"/>
      <c r="IQM264" s="297"/>
      <c r="IQN264" s="297"/>
      <c r="IQO264" s="297"/>
      <c r="IQP264" s="297"/>
      <c r="IQQ264" s="297"/>
      <c r="IQR264" s="297"/>
      <c r="IQS264" s="297"/>
      <c r="IQT264" s="297"/>
      <c r="IQU264" s="297"/>
      <c r="IQV264" s="297"/>
      <c r="IQW264" s="297"/>
      <c r="IQX264" s="297"/>
      <c r="IQY264" s="297"/>
      <c r="IQZ264" s="297"/>
      <c r="IRA264" s="297"/>
      <c r="IRB264" s="297"/>
      <c r="IRC264" s="297"/>
      <c r="IRD264" s="297"/>
      <c r="IRE264" s="297"/>
      <c r="IRF264" s="297"/>
      <c r="IRG264" s="297"/>
      <c r="IRH264" s="297"/>
      <c r="IRI264" s="297"/>
      <c r="IRJ264" s="297"/>
      <c r="IRK264" s="297"/>
      <c r="IRL264" s="297"/>
      <c r="IRM264" s="297"/>
      <c r="IRN264" s="297"/>
      <c r="IRO264" s="297"/>
      <c r="IRP264" s="297"/>
      <c r="IRQ264" s="297"/>
      <c r="IRR264" s="297"/>
      <c r="IRS264" s="297"/>
      <c r="IRT264" s="297"/>
      <c r="IRU264" s="297"/>
      <c r="IRV264" s="297"/>
      <c r="IRW264" s="297"/>
      <c r="IRX264" s="297"/>
      <c r="IRY264" s="297"/>
      <c r="IRZ264" s="297"/>
      <c r="ISA264" s="297"/>
      <c r="ISB264" s="297"/>
      <c r="ISC264" s="297"/>
      <c r="ISD264" s="297"/>
      <c r="ISE264" s="297"/>
      <c r="ISF264" s="297"/>
      <c r="ISG264" s="297"/>
      <c r="ISH264" s="297"/>
      <c r="ISI264" s="297"/>
      <c r="ISJ264" s="297"/>
      <c r="ISK264" s="297"/>
      <c r="ISL264" s="297"/>
      <c r="ISM264" s="297"/>
      <c r="ISN264" s="297"/>
      <c r="ISO264" s="297"/>
      <c r="ISP264" s="297"/>
      <c r="ISQ264" s="297"/>
      <c r="ISR264" s="297"/>
      <c r="ISS264" s="297"/>
      <c r="IST264" s="297"/>
      <c r="ISU264" s="297"/>
      <c r="ISV264" s="297"/>
      <c r="ISW264" s="297"/>
      <c r="ISX264" s="297"/>
      <c r="ISY264" s="297"/>
      <c r="ISZ264" s="297"/>
      <c r="ITA264" s="297"/>
      <c r="ITB264" s="297"/>
      <c r="ITC264" s="297"/>
      <c r="ITD264" s="297"/>
      <c r="ITE264" s="297"/>
      <c r="ITF264" s="297"/>
      <c r="ITG264" s="297"/>
      <c r="ITH264" s="297"/>
      <c r="ITI264" s="297"/>
      <c r="ITJ264" s="297"/>
      <c r="ITK264" s="297"/>
      <c r="ITL264" s="297"/>
      <c r="ITM264" s="297"/>
      <c r="ITN264" s="297"/>
      <c r="ITO264" s="297"/>
      <c r="ITP264" s="297"/>
      <c r="ITQ264" s="297"/>
      <c r="ITR264" s="297"/>
      <c r="ITS264" s="297"/>
      <c r="ITT264" s="297"/>
      <c r="ITU264" s="297"/>
      <c r="ITV264" s="297"/>
      <c r="ITW264" s="297"/>
      <c r="ITX264" s="297"/>
      <c r="ITY264" s="297"/>
      <c r="ITZ264" s="297"/>
      <c r="IUA264" s="297"/>
      <c r="IUB264" s="297"/>
      <c r="IUC264" s="297"/>
      <c r="IUD264" s="297"/>
      <c r="IUE264" s="297"/>
      <c r="IUF264" s="297"/>
      <c r="IUG264" s="297"/>
      <c r="IUH264" s="297"/>
      <c r="IUI264" s="297"/>
      <c r="IUJ264" s="297"/>
      <c r="IUK264" s="297"/>
      <c r="IUL264" s="297"/>
      <c r="IUM264" s="297"/>
      <c r="IUN264" s="297"/>
      <c r="IUO264" s="297"/>
      <c r="IUP264" s="297"/>
      <c r="IUQ264" s="297"/>
      <c r="IUR264" s="297"/>
      <c r="IUS264" s="297"/>
      <c r="IUT264" s="297"/>
      <c r="IUU264" s="297"/>
      <c r="IUV264" s="297"/>
      <c r="IUW264" s="297"/>
      <c r="IUX264" s="297"/>
      <c r="IUY264" s="297"/>
      <c r="IUZ264" s="297"/>
      <c r="IVA264" s="297"/>
      <c r="IVB264" s="297"/>
      <c r="IVC264" s="297"/>
      <c r="IVD264" s="297"/>
      <c r="IVE264" s="297"/>
      <c r="IVF264" s="297"/>
      <c r="IVG264" s="297"/>
      <c r="IVH264" s="297"/>
      <c r="IVI264" s="297"/>
      <c r="IVJ264" s="297"/>
      <c r="IVK264" s="297"/>
      <c r="IVL264" s="297"/>
      <c r="IVM264" s="297"/>
      <c r="IVN264" s="297"/>
      <c r="IVO264" s="297"/>
      <c r="IVP264" s="297"/>
      <c r="IVQ264" s="297"/>
      <c r="IVR264" s="297"/>
      <c r="IVS264" s="297"/>
      <c r="IVT264" s="297"/>
      <c r="IVU264" s="297"/>
      <c r="IVV264" s="297"/>
      <c r="IVW264" s="297"/>
      <c r="IVX264" s="297"/>
      <c r="IVY264" s="297"/>
      <c r="IVZ264" s="297"/>
      <c r="IWA264" s="297"/>
      <c r="IWB264" s="297"/>
      <c r="IWC264" s="297"/>
      <c r="IWD264" s="297"/>
      <c r="IWE264" s="297"/>
      <c r="IWF264" s="297"/>
      <c r="IWG264" s="297"/>
      <c r="IWH264" s="297"/>
      <c r="IWI264" s="297"/>
      <c r="IWJ264" s="297"/>
      <c r="IWK264" s="297"/>
      <c r="IWL264" s="297"/>
      <c r="IWM264" s="297"/>
      <c r="IWN264" s="297"/>
      <c r="IWO264" s="297"/>
      <c r="IWP264" s="297"/>
      <c r="IWQ264" s="297"/>
      <c r="IWR264" s="297"/>
      <c r="IWS264" s="297"/>
      <c r="IWT264" s="297"/>
      <c r="IWU264" s="297"/>
      <c r="IWV264" s="297"/>
      <c r="IWW264" s="297"/>
      <c r="IWX264" s="297"/>
      <c r="IWY264" s="297"/>
      <c r="IWZ264" s="297"/>
      <c r="IXA264" s="297"/>
      <c r="IXB264" s="297"/>
      <c r="IXC264" s="297"/>
      <c r="IXD264" s="297"/>
      <c r="IXE264" s="297"/>
      <c r="IXF264" s="297"/>
      <c r="IXG264" s="297"/>
      <c r="IXH264" s="297"/>
      <c r="IXI264" s="297"/>
      <c r="IXJ264" s="297"/>
      <c r="IXK264" s="297"/>
      <c r="IXL264" s="297"/>
      <c r="IXM264" s="297"/>
      <c r="IXN264" s="297"/>
      <c r="IXO264" s="297"/>
      <c r="IXP264" s="297"/>
      <c r="IXQ264" s="297"/>
      <c r="IXR264" s="297"/>
      <c r="IXS264" s="297"/>
      <c r="IXT264" s="297"/>
      <c r="IXU264" s="297"/>
      <c r="IXV264" s="297"/>
      <c r="IXW264" s="297"/>
      <c r="IXX264" s="297"/>
      <c r="IXY264" s="297"/>
      <c r="IXZ264" s="297"/>
      <c r="IYA264" s="297"/>
      <c r="IYB264" s="297"/>
      <c r="IYC264" s="297"/>
      <c r="IYD264" s="297"/>
      <c r="IYE264" s="297"/>
      <c r="IYF264" s="297"/>
      <c r="IYG264" s="297"/>
      <c r="IYH264" s="297"/>
      <c r="IYI264" s="297"/>
      <c r="IYJ264" s="297"/>
      <c r="IYK264" s="297"/>
      <c r="IYL264" s="297"/>
      <c r="IYM264" s="297"/>
      <c r="IYN264" s="297"/>
      <c r="IYO264" s="297"/>
      <c r="IYP264" s="297"/>
      <c r="IYQ264" s="297"/>
      <c r="IYR264" s="297"/>
      <c r="IYS264" s="297"/>
      <c r="IYT264" s="297"/>
      <c r="IYU264" s="297"/>
      <c r="IYV264" s="297"/>
      <c r="IYW264" s="297"/>
      <c r="IYX264" s="297"/>
      <c r="IYY264" s="297"/>
      <c r="IYZ264" s="297"/>
      <c r="IZA264" s="297"/>
      <c r="IZB264" s="297"/>
      <c r="IZC264" s="297"/>
      <c r="IZD264" s="297"/>
      <c r="IZE264" s="297"/>
      <c r="IZF264" s="297"/>
      <c r="IZG264" s="297"/>
      <c r="IZH264" s="297"/>
      <c r="IZI264" s="297"/>
      <c r="IZJ264" s="297"/>
      <c r="IZK264" s="297"/>
      <c r="IZL264" s="297"/>
      <c r="IZM264" s="297"/>
      <c r="IZN264" s="297"/>
      <c r="IZO264" s="297"/>
      <c r="IZP264" s="297"/>
      <c r="IZQ264" s="297"/>
      <c r="IZR264" s="297"/>
      <c r="IZS264" s="297"/>
      <c r="IZT264" s="297"/>
      <c r="IZU264" s="297"/>
      <c r="IZV264" s="297"/>
      <c r="IZW264" s="297"/>
      <c r="IZX264" s="297"/>
      <c r="IZY264" s="297"/>
      <c r="IZZ264" s="297"/>
      <c r="JAA264" s="297"/>
      <c r="JAB264" s="297"/>
      <c r="JAC264" s="297"/>
      <c r="JAD264" s="297"/>
      <c r="JAE264" s="297"/>
      <c r="JAF264" s="297"/>
      <c r="JAG264" s="297"/>
      <c r="JAH264" s="297"/>
      <c r="JAI264" s="297"/>
      <c r="JAJ264" s="297"/>
      <c r="JAK264" s="297"/>
      <c r="JAL264" s="297"/>
      <c r="JAM264" s="297"/>
      <c r="JAN264" s="297"/>
      <c r="JAO264" s="297"/>
      <c r="JAP264" s="297"/>
      <c r="JAQ264" s="297"/>
      <c r="JAR264" s="297"/>
      <c r="JAS264" s="297"/>
      <c r="JAT264" s="297"/>
      <c r="JAU264" s="297"/>
      <c r="JAV264" s="297"/>
      <c r="JAW264" s="297"/>
      <c r="JAX264" s="297"/>
      <c r="JAY264" s="297"/>
      <c r="JAZ264" s="297"/>
      <c r="JBA264" s="297"/>
      <c r="JBB264" s="297"/>
      <c r="JBC264" s="297"/>
      <c r="JBD264" s="297"/>
      <c r="JBE264" s="297"/>
      <c r="JBF264" s="297"/>
      <c r="JBG264" s="297"/>
      <c r="JBH264" s="297"/>
      <c r="JBI264" s="297"/>
      <c r="JBJ264" s="297"/>
      <c r="JBK264" s="297"/>
      <c r="JBL264" s="297"/>
      <c r="JBM264" s="297"/>
      <c r="JBN264" s="297"/>
      <c r="JBO264" s="297"/>
      <c r="JBP264" s="297"/>
      <c r="JBQ264" s="297"/>
      <c r="JBR264" s="297"/>
      <c r="JBS264" s="297"/>
      <c r="JBT264" s="297"/>
      <c r="JBU264" s="297"/>
      <c r="JBV264" s="297"/>
      <c r="JBW264" s="297"/>
      <c r="JBX264" s="297"/>
      <c r="JBY264" s="297"/>
      <c r="JBZ264" s="297"/>
      <c r="JCA264" s="297"/>
      <c r="JCB264" s="297"/>
      <c r="JCC264" s="297"/>
      <c r="JCD264" s="297"/>
      <c r="JCE264" s="297"/>
      <c r="JCF264" s="297"/>
      <c r="JCG264" s="297"/>
      <c r="JCH264" s="297"/>
      <c r="JCI264" s="297"/>
      <c r="JCJ264" s="297"/>
      <c r="JCK264" s="297"/>
      <c r="JCL264" s="297"/>
      <c r="JCM264" s="297"/>
      <c r="JCN264" s="297"/>
      <c r="JCO264" s="297"/>
      <c r="JCP264" s="297"/>
      <c r="JCQ264" s="297"/>
      <c r="JCR264" s="297"/>
      <c r="JCS264" s="297"/>
      <c r="JCT264" s="297"/>
      <c r="JCU264" s="297"/>
      <c r="JCV264" s="297"/>
      <c r="JCW264" s="297"/>
      <c r="JCX264" s="297"/>
      <c r="JCY264" s="297"/>
      <c r="JCZ264" s="297"/>
      <c r="JDA264" s="297"/>
      <c r="JDB264" s="297"/>
      <c r="JDC264" s="297"/>
      <c r="JDD264" s="297"/>
      <c r="JDE264" s="297"/>
      <c r="JDF264" s="297"/>
      <c r="JDG264" s="297"/>
      <c r="JDH264" s="297"/>
      <c r="JDI264" s="297"/>
      <c r="JDJ264" s="297"/>
      <c r="JDK264" s="297"/>
      <c r="JDL264" s="297"/>
      <c r="JDM264" s="297"/>
      <c r="JDN264" s="297"/>
      <c r="JDO264" s="297"/>
      <c r="JDP264" s="297"/>
      <c r="JDQ264" s="297"/>
      <c r="JDR264" s="297"/>
      <c r="JDS264" s="297"/>
      <c r="JDT264" s="297"/>
      <c r="JDU264" s="297"/>
      <c r="JDV264" s="297"/>
      <c r="JDW264" s="297"/>
      <c r="JDX264" s="297"/>
      <c r="JDY264" s="297"/>
      <c r="JDZ264" s="297"/>
      <c r="JEA264" s="297"/>
      <c r="JEB264" s="297"/>
      <c r="JEC264" s="297"/>
      <c r="JED264" s="297"/>
      <c r="JEE264" s="297"/>
      <c r="JEF264" s="297"/>
      <c r="JEG264" s="297"/>
      <c r="JEH264" s="297"/>
      <c r="JEI264" s="297"/>
      <c r="JEJ264" s="297"/>
      <c r="JEK264" s="297"/>
      <c r="JEL264" s="297"/>
      <c r="JEM264" s="297"/>
      <c r="JEN264" s="297"/>
      <c r="JEO264" s="297"/>
      <c r="JEP264" s="297"/>
      <c r="JEQ264" s="297"/>
      <c r="JER264" s="297"/>
      <c r="JES264" s="297"/>
      <c r="JET264" s="297"/>
      <c r="JEU264" s="297"/>
      <c r="JEV264" s="297"/>
      <c r="JEW264" s="297"/>
      <c r="JEX264" s="297"/>
      <c r="JEY264" s="297"/>
      <c r="JEZ264" s="297"/>
      <c r="JFA264" s="297"/>
      <c r="JFB264" s="297"/>
      <c r="JFC264" s="297"/>
      <c r="JFD264" s="297"/>
      <c r="JFE264" s="297"/>
      <c r="JFF264" s="297"/>
      <c r="JFG264" s="297"/>
      <c r="JFH264" s="297"/>
      <c r="JFI264" s="297"/>
      <c r="JFJ264" s="297"/>
      <c r="JFK264" s="297"/>
      <c r="JFL264" s="297"/>
      <c r="JFM264" s="297"/>
      <c r="JFN264" s="297"/>
      <c r="JFO264" s="297"/>
      <c r="JFP264" s="297"/>
      <c r="JFQ264" s="297"/>
      <c r="JFR264" s="297"/>
      <c r="JFS264" s="297"/>
      <c r="JFT264" s="297"/>
      <c r="JFU264" s="297"/>
      <c r="JFV264" s="297"/>
      <c r="JFW264" s="297"/>
      <c r="JFX264" s="297"/>
      <c r="JFY264" s="297"/>
      <c r="JFZ264" s="297"/>
      <c r="JGA264" s="297"/>
      <c r="JGB264" s="297"/>
      <c r="JGC264" s="297"/>
      <c r="JGD264" s="297"/>
      <c r="JGE264" s="297"/>
      <c r="JGF264" s="297"/>
      <c r="JGG264" s="297"/>
      <c r="JGH264" s="297"/>
      <c r="JGI264" s="297"/>
      <c r="JGJ264" s="297"/>
      <c r="JGK264" s="297"/>
      <c r="JGL264" s="297"/>
      <c r="JGM264" s="297"/>
      <c r="JGN264" s="297"/>
      <c r="JGO264" s="297"/>
      <c r="JGP264" s="297"/>
      <c r="JGQ264" s="297"/>
      <c r="JGR264" s="297"/>
      <c r="JGS264" s="297"/>
      <c r="JGT264" s="297"/>
      <c r="JGU264" s="297"/>
      <c r="JGV264" s="297"/>
      <c r="JGW264" s="297"/>
      <c r="JGX264" s="297"/>
      <c r="JGY264" s="297"/>
      <c r="JGZ264" s="297"/>
      <c r="JHA264" s="297"/>
      <c r="JHB264" s="297"/>
      <c r="JHC264" s="297"/>
      <c r="JHD264" s="297"/>
      <c r="JHE264" s="297"/>
      <c r="JHF264" s="297"/>
      <c r="JHG264" s="297"/>
      <c r="JHH264" s="297"/>
      <c r="JHI264" s="297"/>
      <c r="JHJ264" s="297"/>
      <c r="JHK264" s="297"/>
      <c r="JHL264" s="297"/>
      <c r="JHM264" s="297"/>
      <c r="JHN264" s="297"/>
      <c r="JHO264" s="297"/>
      <c r="JHP264" s="297"/>
      <c r="JHQ264" s="297"/>
      <c r="JHR264" s="297"/>
      <c r="JHS264" s="297"/>
      <c r="JHT264" s="297"/>
      <c r="JHU264" s="297"/>
      <c r="JHV264" s="297"/>
      <c r="JHW264" s="297"/>
      <c r="JHX264" s="297"/>
      <c r="JHY264" s="297"/>
      <c r="JHZ264" s="297"/>
      <c r="JIA264" s="297"/>
      <c r="JIB264" s="297"/>
      <c r="JIC264" s="297"/>
      <c r="JID264" s="297"/>
      <c r="JIE264" s="297"/>
      <c r="JIF264" s="297"/>
      <c r="JIG264" s="297"/>
      <c r="JIH264" s="297"/>
      <c r="JII264" s="297"/>
      <c r="JIJ264" s="297"/>
      <c r="JIK264" s="297"/>
      <c r="JIL264" s="297"/>
      <c r="JIM264" s="297"/>
      <c r="JIN264" s="297"/>
      <c r="JIO264" s="297"/>
      <c r="JIP264" s="297"/>
      <c r="JIQ264" s="297"/>
      <c r="JIR264" s="297"/>
      <c r="JIS264" s="297"/>
      <c r="JIT264" s="297"/>
      <c r="JIU264" s="297"/>
      <c r="JIV264" s="297"/>
      <c r="JIW264" s="297"/>
      <c r="JIX264" s="297"/>
      <c r="JIY264" s="297"/>
      <c r="JIZ264" s="297"/>
      <c r="JJA264" s="297"/>
      <c r="JJB264" s="297"/>
      <c r="JJC264" s="297"/>
      <c r="JJD264" s="297"/>
      <c r="JJE264" s="297"/>
      <c r="JJF264" s="297"/>
      <c r="JJG264" s="297"/>
      <c r="JJH264" s="297"/>
      <c r="JJI264" s="297"/>
      <c r="JJJ264" s="297"/>
      <c r="JJK264" s="297"/>
      <c r="JJL264" s="297"/>
      <c r="JJM264" s="297"/>
      <c r="JJN264" s="297"/>
      <c r="JJO264" s="297"/>
      <c r="JJP264" s="297"/>
      <c r="JJQ264" s="297"/>
      <c r="JJR264" s="297"/>
      <c r="JJS264" s="297"/>
      <c r="JJT264" s="297"/>
      <c r="JJU264" s="297"/>
      <c r="JJV264" s="297"/>
      <c r="JJW264" s="297"/>
      <c r="JJX264" s="297"/>
      <c r="JJY264" s="297"/>
      <c r="JJZ264" s="297"/>
      <c r="JKA264" s="297"/>
      <c r="JKB264" s="297"/>
      <c r="JKC264" s="297"/>
      <c r="JKD264" s="297"/>
      <c r="JKE264" s="297"/>
      <c r="JKF264" s="297"/>
      <c r="JKG264" s="297"/>
      <c r="JKH264" s="297"/>
      <c r="JKI264" s="297"/>
      <c r="JKJ264" s="297"/>
      <c r="JKK264" s="297"/>
      <c r="JKL264" s="297"/>
      <c r="JKM264" s="297"/>
      <c r="JKN264" s="297"/>
      <c r="JKO264" s="297"/>
      <c r="JKP264" s="297"/>
      <c r="JKQ264" s="297"/>
      <c r="JKR264" s="297"/>
      <c r="JKS264" s="297"/>
      <c r="JKT264" s="297"/>
      <c r="JKU264" s="297"/>
      <c r="JKV264" s="297"/>
      <c r="JKW264" s="297"/>
      <c r="JKX264" s="297"/>
      <c r="JKY264" s="297"/>
      <c r="JKZ264" s="297"/>
      <c r="JLA264" s="297"/>
      <c r="JLB264" s="297"/>
      <c r="JLC264" s="297"/>
      <c r="JLD264" s="297"/>
      <c r="JLE264" s="297"/>
      <c r="JLF264" s="297"/>
      <c r="JLG264" s="297"/>
      <c r="JLH264" s="297"/>
      <c r="JLI264" s="297"/>
      <c r="JLJ264" s="297"/>
      <c r="JLK264" s="297"/>
      <c r="JLL264" s="297"/>
      <c r="JLM264" s="297"/>
      <c r="JLN264" s="297"/>
      <c r="JLO264" s="297"/>
      <c r="JLP264" s="297"/>
      <c r="JLQ264" s="297"/>
      <c r="JLR264" s="297"/>
      <c r="JLS264" s="297"/>
      <c r="JLT264" s="297"/>
      <c r="JLU264" s="297"/>
      <c r="JLV264" s="297"/>
      <c r="JLW264" s="297"/>
      <c r="JLX264" s="297"/>
      <c r="JLY264" s="297"/>
      <c r="JLZ264" s="297"/>
      <c r="JMA264" s="297"/>
      <c r="JMB264" s="297"/>
      <c r="JMC264" s="297"/>
      <c r="JMD264" s="297"/>
      <c r="JME264" s="297"/>
      <c r="JMF264" s="297"/>
      <c r="JMG264" s="297"/>
      <c r="JMH264" s="297"/>
      <c r="JMI264" s="297"/>
      <c r="JMJ264" s="297"/>
      <c r="JMK264" s="297"/>
      <c r="JML264" s="297"/>
      <c r="JMM264" s="297"/>
      <c r="JMN264" s="297"/>
      <c r="JMO264" s="297"/>
      <c r="JMP264" s="297"/>
      <c r="JMQ264" s="297"/>
      <c r="JMR264" s="297"/>
      <c r="JMS264" s="297"/>
      <c r="JMT264" s="297"/>
      <c r="JMU264" s="297"/>
      <c r="JMV264" s="297"/>
      <c r="JMW264" s="297"/>
      <c r="JMX264" s="297"/>
      <c r="JMY264" s="297"/>
      <c r="JMZ264" s="297"/>
      <c r="JNA264" s="297"/>
      <c r="JNB264" s="297"/>
      <c r="JNC264" s="297"/>
      <c r="JND264" s="297"/>
      <c r="JNE264" s="297"/>
      <c r="JNF264" s="297"/>
      <c r="JNG264" s="297"/>
      <c r="JNH264" s="297"/>
      <c r="JNI264" s="297"/>
      <c r="JNJ264" s="297"/>
      <c r="JNK264" s="297"/>
      <c r="JNL264" s="297"/>
      <c r="JNM264" s="297"/>
      <c r="JNN264" s="297"/>
      <c r="JNO264" s="297"/>
      <c r="JNP264" s="297"/>
      <c r="JNQ264" s="297"/>
      <c r="JNR264" s="297"/>
      <c r="JNS264" s="297"/>
      <c r="JNT264" s="297"/>
      <c r="JNU264" s="297"/>
      <c r="JNV264" s="297"/>
      <c r="JNW264" s="297"/>
      <c r="JNX264" s="297"/>
      <c r="JNY264" s="297"/>
      <c r="JNZ264" s="297"/>
      <c r="JOA264" s="297"/>
      <c r="JOB264" s="297"/>
      <c r="JOC264" s="297"/>
      <c r="JOD264" s="297"/>
      <c r="JOE264" s="297"/>
      <c r="JOF264" s="297"/>
      <c r="JOG264" s="297"/>
      <c r="JOH264" s="297"/>
      <c r="JOI264" s="297"/>
      <c r="JOJ264" s="297"/>
      <c r="JOK264" s="297"/>
      <c r="JOL264" s="297"/>
      <c r="JOM264" s="297"/>
      <c r="JON264" s="297"/>
      <c r="JOO264" s="297"/>
      <c r="JOP264" s="297"/>
      <c r="JOQ264" s="297"/>
      <c r="JOR264" s="297"/>
      <c r="JOS264" s="297"/>
      <c r="JOT264" s="297"/>
      <c r="JOU264" s="297"/>
      <c r="JOV264" s="297"/>
      <c r="JOW264" s="297"/>
      <c r="JOX264" s="297"/>
      <c r="JOY264" s="297"/>
      <c r="JOZ264" s="297"/>
      <c r="JPA264" s="297"/>
      <c r="JPB264" s="297"/>
      <c r="JPC264" s="297"/>
      <c r="JPD264" s="297"/>
      <c r="JPE264" s="297"/>
      <c r="JPF264" s="297"/>
      <c r="JPG264" s="297"/>
      <c r="JPH264" s="297"/>
      <c r="JPI264" s="297"/>
      <c r="JPJ264" s="297"/>
      <c r="JPK264" s="297"/>
      <c r="JPL264" s="297"/>
      <c r="JPM264" s="297"/>
      <c r="JPN264" s="297"/>
      <c r="JPO264" s="297"/>
      <c r="JPP264" s="297"/>
      <c r="JPQ264" s="297"/>
      <c r="JPR264" s="297"/>
      <c r="JPS264" s="297"/>
      <c r="JPT264" s="297"/>
      <c r="JPU264" s="297"/>
      <c r="JPV264" s="297"/>
      <c r="JPW264" s="297"/>
      <c r="JPX264" s="297"/>
      <c r="JPY264" s="297"/>
      <c r="JPZ264" s="297"/>
      <c r="JQA264" s="297"/>
      <c r="JQB264" s="297"/>
      <c r="JQC264" s="297"/>
      <c r="JQD264" s="297"/>
      <c r="JQE264" s="297"/>
      <c r="JQF264" s="297"/>
      <c r="JQG264" s="297"/>
      <c r="JQH264" s="297"/>
      <c r="JQI264" s="297"/>
      <c r="JQJ264" s="297"/>
      <c r="JQK264" s="297"/>
      <c r="JQL264" s="297"/>
      <c r="JQM264" s="297"/>
      <c r="JQN264" s="297"/>
      <c r="JQO264" s="297"/>
      <c r="JQP264" s="297"/>
      <c r="JQQ264" s="297"/>
      <c r="JQR264" s="297"/>
      <c r="JQS264" s="297"/>
      <c r="JQT264" s="297"/>
      <c r="JQU264" s="297"/>
      <c r="JQV264" s="297"/>
      <c r="JQW264" s="297"/>
      <c r="JQX264" s="297"/>
      <c r="JQY264" s="297"/>
      <c r="JQZ264" s="297"/>
      <c r="JRA264" s="297"/>
      <c r="JRB264" s="297"/>
      <c r="JRC264" s="297"/>
      <c r="JRD264" s="297"/>
      <c r="JRE264" s="297"/>
      <c r="JRF264" s="297"/>
      <c r="JRG264" s="297"/>
      <c r="JRH264" s="297"/>
      <c r="JRI264" s="297"/>
      <c r="JRJ264" s="297"/>
      <c r="JRK264" s="297"/>
      <c r="JRL264" s="297"/>
      <c r="JRM264" s="297"/>
      <c r="JRN264" s="297"/>
      <c r="JRO264" s="297"/>
      <c r="JRP264" s="297"/>
      <c r="JRQ264" s="297"/>
      <c r="JRR264" s="297"/>
      <c r="JRS264" s="297"/>
      <c r="JRT264" s="297"/>
      <c r="JRU264" s="297"/>
      <c r="JRV264" s="297"/>
      <c r="JRW264" s="297"/>
      <c r="JRX264" s="297"/>
      <c r="JRY264" s="297"/>
      <c r="JRZ264" s="297"/>
      <c r="JSA264" s="297"/>
      <c r="JSB264" s="297"/>
      <c r="JSC264" s="297"/>
      <c r="JSD264" s="297"/>
      <c r="JSE264" s="297"/>
      <c r="JSF264" s="297"/>
      <c r="JSG264" s="297"/>
      <c r="JSH264" s="297"/>
      <c r="JSI264" s="297"/>
      <c r="JSJ264" s="297"/>
      <c r="JSK264" s="297"/>
      <c r="JSL264" s="297"/>
      <c r="JSM264" s="297"/>
      <c r="JSN264" s="297"/>
      <c r="JSO264" s="297"/>
      <c r="JSP264" s="297"/>
      <c r="JSQ264" s="297"/>
      <c r="JSR264" s="297"/>
      <c r="JSS264" s="297"/>
      <c r="JST264" s="297"/>
      <c r="JSU264" s="297"/>
      <c r="JSV264" s="297"/>
      <c r="JSW264" s="297"/>
      <c r="JSX264" s="297"/>
      <c r="JSY264" s="297"/>
      <c r="JSZ264" s="297"/>
      <c r="JTA264" s="297"/>
      <c r="JTB264" s="297"/>
      <c r="JTC264" s="297"/>
      <c r="JTD264" s="297"/>
      <c r="JTE264" s="297"/>
      <c r="JTF264" s="297"/>
      <c r="JTG264" s="297"/>
      <c r="JTH264" s="297"/>
      <c r="JTI264" s="297"/>
      <c r="JTJ264" s="297"/>
      <c r="JTK264" s="297"/>
      <c r="JTL264" s="297"/>
      <c r="JTM264" s="297"/>
      <c r="JTN264" s="297"/>
      <c r="JTO264" s="297"/>
      <c r="JTP264" s="297"/>
      <c r="JTQ264" s="297"/>
      <c r="JTR264" s="297"/>
      <c r="JTS264" s="297"/>
      <c r="JTT264" s="297"/>
      <c r="JTU264" s="297"/>
      <c r="JTV264" s="297"/>
      <c r="JTW264" s="297"/>
      <c r="JTX264" s="297"/>
      <c r="JTY264" s="297"/>
      <c r="JTZ264" s="297"/>
      <c r="JUA264" s="297"/>
      <c r="JUB264" s="297"/>
      <c r="JUC264" s="297"/>
      <c r="JUD264" s="297"/>
      <c r="JUE264" s="297"/>
      <c r="JUF264" s="297"/>
      <c r="JUG264" s="297"/>
      <c r="JUH264" s="297"/>
      <c r="JUI264" s="297"/>
      <c r="JUJ264" s="297"/>
      <c r="JUK264" s="297"/>
      <c r="JUL264" s="297"/>
      <c r="JUM264" s="297"/>
      <c r="JUN264" s="297"/>
      <c r="JUO264" s="297"/>
      <c r="JUP264" s="297"/>
      <c r="JUQ264" s="297"/>
      <c r="JUR264" s="297"/>
      <c r="JUS264" s="297"/>
      <c r="JUT264" s="297"/>
      <c r="JUU264" s="297"/>
      <c r="JUV264" s="297"/>
      <c r="JUW264" s="297"/>
      <c r="JUX264" s="297"/>
      <c r="JUY264" s="297"/>
      <c r="JUZ264" s="297"/>
      <c r="JVA264" s="297"/>
      <c r="JVB264" s="297"/>
      <c r="JVC264" s="297"/>
      <c r="JVD264" s="297"/>
      <c r="JVE264" s="297"/>
      <c r="JVF264" s="297"/>
      <c r="JVG264" s="297"/>
      <c r="JVH264" s="297"/>
      <c r="JVI264" s="297"/>
      <c r="JVJ264" s="297"/>
      <c r="JVK264" s="297"/>
      <c r="JVL264" s="297"/>
      <c r="JVM264" s="297"/>
      <c r="JVN264" s="297"/>
      <c r="JVO264" s="297"/>
      <c r="JVP264" s="297"/>
      <c r="JVQ264" s="297"/>
      <c r="JVR264" s="297"/>
      <c r="JVS264" s="297"/>
      <c r="JVT264" s="297"/>
      <c r="JVU264" s="297"/>
      <c r="JVV264" s="297"/>
      <c r="JVW264" s="297"/>
      <c r="JVX264" s="297"/>
      <c r="JVY264" s="297"/>
      <c r="JVZ264" s="297"/>
      <c r="JWA264" s="297"/>
      <c r="JWB264" s="297"/>
      <c r="JWC264" s="297"/>
      <c r="JWD264" s="297"/>
      <c r="JWE264" s="297"/>
      <c r="JWF264" s="297"/>
      <c r="JWG264" s="297"/>
      <c r="JWH264" s="297"/>
      <c r="JWI264" s="297"/>
      <c r="JWJ264" s="297"/>
      <c r="JWK264" s="297"/>
      <c r="JWL264" s="297"/>
      <c r="JWM264" s="297"/>
      <c r="JWN264" s="297"/>
      <c r="JWO264" s="297"/>
      <c r="JWP264" s="297"/>
      <c r="JWQ264" s="297"/>
      <c r="JWR264" s="297"/>
      <c r="JWS264" s="297"/>
      <c r="JWT264" s="297"/>
      <c r="JWU264" s="297"/>
      <c r="JWV264" s="297"/>
      <c r="JWW264" s="297"/>
      <c r="JWX264" s="297"/>
      <c r="JWY264" s="297"/>
      <c r="JWZ264" s="297"/>
      <c r="JXA264" s="297"/>
      <c r="JXB264" s="297"/>
      <c r="JXC264" s="297"/>
      <c r="JXD264" s="297"/>
      <c r="JXE264" s="297"/>
      <c r="JXF264" s="297"/>
      <c r="JXG264" s="297"/>
      <c r="JXH264" s="297"/>
      <c r="JXI264" s="297"/>
      <c r="JXJ264" s="297"/>
      <c r="JXK264" s="297"/>
      <c r="JXL264" s="297"/>
      <c r="JXM264" s="297"/>
      <c r="JXN264" s="297"/>
      <c r="JXO264" s="297"/>
      <c r="JXP264" s="297"/>
      <c r="JXQ264" s="297"/>
      <c r="JXR264" s="297"/>
      <c r="JXS264" s="297"/>
      <c r="JXT264" s="297"/>
      <c r="JXU264" s="297"/>
      <c r="JXV264" s="297"/>
      <c r="JXW264" s="297"/>
      <c r="JXX264" s="297"/>
      <c r="JXY264" s="297"/>
      <c r="JXZ264" s="297"/>
      <c r="JYA264" s="297"/>
      <c r="JYB264" s="297"/>
      <c r="JYC264" s="297"/>
      <c r="JYD264" s="297"/>
      <c r="JYE264" s="297"/>
      <c r="JYF264" s="297"/>
      <c r="JYG264" s="297"/>
      <c r="JYH264" s="297"/>
      <c r="JYI264" s="297"/>
      <c r="JYJ264" s="297"/>
      <c r="JYK264" s="297"/>
      <c r="JYL264" s="297"/>
      <c r="JYM264" s="297"/>
      <c r="JYN264" s="297"/>
      <c r="JYO264" s="297"/>
      <c r="JYP264" s="297"/>
      <c r="JYQ264" s="297"/>
      <c r="JYR264" s="297"/>
      <c r="JYS264" s="297"/>
      <c r="JYT264" s="297"/>
      <c r="JYU264" s="297"/>
      <c r="JYV264" s="297"/>
      <c r="JYW264" s="297"/>
      <c r="JYX264" s="297"/>
      <c r="JYY264" s="297"/>
      <c r="JYZ264" s="297"/>
      <c r="JZA264" s="297"/>
      <c r="JZB264" s="297"/>
      <c r="JZC264" s="297"/>
      <c r="JZD264" s="297"/>
      <c r="JZE264" s="297"/>
      <c r="JZF264" s="297"/>
      <c r="JZG264" s="297"/>
      <c r="JZH264" s="297"/>
      <c r="JZI264" s="297"/>
      <c r="JZJ264" s="297"/>
      <c r="JZK264" s="297"/>
      <c r="JZL264" s="297"/>
      <c r="JZM264" s="297"/>
      <c r="JZN264" s="297"/>
      <c r="JZO264" s="297"/>
      <c r="JZP264" s="297"/>
      <c r="JZQ264" s="297"/>
      <c r="JZR264" s="297"/>
      <c r="JZS264" s="297"/>
      <c r="JZT264" s="297"/>
      <c r="JZU264" s="297"/>
      <c r="JZV264" s="297"/>
      <c r="JZW264" s="297"/>
      <c r="JZX264" s="297"/>
      <c r="JZY264" s="297"/>
      <c r="JZZ264" s="297"/>
      <c r="KAA264" s="297"/>
      <c r="KAB264" s="297"/>
      <c r="KAC264" s="297"/>
      <c r="KAD264" s="297"/>
      <c r="KAE264" s="297"/>
      <c r="KAF264" s="297"/>
      <c r="KAG264" s="297"/>
      <c r="KAH264" s="297"/>
      <c r="KAI264" s="297"/>
      <c r="KAJ264" s="297"/>
      <c r="KAK264" s="297"/>
      <c r="KAL264" s="297"/>
      <c r="KAM264" s="297"/>
      <c r="KAN264" s="297"/>
      <c r="KAO264" s="297"/>
      <c r="KAP264" s="297"/>
      <c r="KAQ264" s="297"/>
      <c r="KAR264" s="297"/>
      <c r="KAS264" s="297"/>
      <c r="KAT264" s="297"/>
      <c r="KAU264" s="297"/>
      <c r="KAV264" s="297"/>
      <c r="KAW264" s="297"/>
      <c r="KAX264" s="297"/>
      <c r="KAY264" s="297"/>
      <c r="KAZ264" s="297"/>
      <c r="KBA264" s="297"/>
      <c r="KBB264" s="297"/>
      <c r="KBC264" s="297"/>
      <c r="KBD264" s="297"/>
      <c r="KBE264" s="297"/>
      <c r="KBF264" s="297"/>
      <c r="KBG264" s="297"/>
      <c r="KBH264" s="297"/>
      <c r="KBI264" s="297"/>
      <c r="KBJ264" s="297"/>
      <c r="KBK264" s="297"/>
      <c r="KBL264" s="297"/>
      <c r="KBM264" s="297"/>
      <c r="KBN264" s="297"/>
      <c r="KBO264" s="297"/>
      <c r="KBP264" s="297"/>
      <c r="KBQ264" s="297"/>
      <c r="KBR264" s="297"/>
      <c r="KBS264" s="297"/>
      <c r="KBT264" s="297"/>
      <c r="KBU264" s="297"/>
      <c r="KBV264" s="297"/>
      <c r="KBW264" s="297"/>
      <c r="KBX264" s="297"/>
      <c r="KBY264" s="297"/>
      <c r="KBZ264" s="297"/>
      <c r="KCA264" s="297"/>
      <c r="KCB264" s="297"/>
      <c r="KCC264" s="297"/>
      <c r="KCD264" s="297"/>
      <c r="KCE264" s="297"/>
      <c r="KCF264" s="297"/>
      <c r="KCG264" s="297"/>
      <c r="KCH264" s="297"/>
      <c r="KCI264" s="297"/>
      <c r="KCJ264" s="297"/>
      <c r="KCK264" s="297"/>
      <c r="KCL264" s="297"/>
      <c r="KCM264" s="297"/>
      <c r="KCN264" s="297"/>
      <c r="KCO264" s="297"/>
      <c r="KCP264" s="297"/>
      <c r="KCQ264" s="297"/>
      <c r="KCR264" s="297"/>
      <c r="KCS264" s="297"/>
      <c r="KCT264" s="297"/>
      <c r="KCU264" s="297"/>
      <c r="KCV264" s="297"/>
      <c r="KCW264" s="297"/>
      <c r="KCX264" s="297"/>
      <c r="KCY264" s="297"/>
      <c r="KCZ264" s="297"/>
      <c r="KDA264" s="297"/>
      <c r="KDB264" s="297"/>
      <c r="KDC264" s="297"/>
      <c r="KDD264" s="297"/>
      <c r="KDE264" s="297"/>
      <c r="KDF264" s="297"/>
      <c r="KDG264" s="297"/>
      <c r="KDH264" s="297"/>
      <c r="KDI264" s="297"/>
      <c r="KDJ264" s="297"/>
      <c r="KDK264" s="297"/>
      <c r="KDL264" s="297"/>
      <c r="KDM264" s="297"/>
      <c r="KDN264" s="297"/>
      <c r="KDO264" s="297"/>
      <c r="KDP264" s="297"/>
      <c r="KDQ264" s="297"/>
      <c r="KDR264" s="297"/>
      <c r="KDS264" s="297"/>
      <c r="KDT264" s="297"/>
      <c r="KDU264" s="297"/>
      <c r="KDV264" s="297"/>
      <c r="KDW264" s="297"/>
      <c r="KDX264" s="297"/>
      <c r="KDY264" s="297"/>
      <c r="KDZ264" s="297"/>
      <c r="KEA264" s="297"/>
      <c r="KEB264" s="297"/>
      <c r="KEC264" s="297"/>
      <c r="KED264" s="297"/>
      <c r="KEE264" s="297"/>
      <c r="KEF264" s="297"/>
      <c r="KEG264" s="297"/>
      <c r="KEH264" s="297"/>
      <c r="KEI264" s="297"/>
      <c r="KEJ264" s="297"/>
      <c r="KEK264" s="297"/>
      <c r="KEL264" s="297"/>
      <c r="KEM264" s="297"/>
      <c r="KEN264" s="297"/>
      <c r="KEO264" s="297"/>
      <c r="KEP264" s="297"/>
      <c r="KEQ264" s="297"/>
      <c r="KER264" s="297"/>
      <c r="KES264" s="297"/>
      <c r="KET264" s="297"/>
      <c r="KEU264" s="297"/>
      <c r="KEV264" s="297"/>
      <c r="KEW264" s="297"/>
      <c r="KEX264" s="297"/>
      <c r="KEY264" s="297"/>
      <c r="KEZ264" s="297"/>
      <c r="KFA264" s="297"/>
      <c r="KFB264" s="297"/>
      <c r="KFC264" s="297"/>
      <c r="KFD264" s="297"/>
      <c r="KFE264" s="297"/>
      <c r="KFF264" s="297"/>
      <c r="KFG264" s="297"/>
      <c r="KFH264" s="297"/>
      <c r="KFI264" s="297"/>
      <c r="KFJ264" s="297"/>
      <c r="KFK264" s="297"/>
      <c r="KFL264" s="297"/>
      <c r="KFM264" s="297"/>
      <c r="KFN264" s="297"/>
      <c r="KFO264" s="297"/>
      <c r="KFP264" s="297"/>
      <c r="KFQ264" s="297"/>
      <c r="KFR264" s="297"/>
      <c r="KFS264" s="297"/>
      <c r="KFT264" s="297"/>
      <c r="KFU264" s="297"/>
      <c r="KFV264" s="297"/>
      <c r="KFW264" s="297"/>
      <c r="KFX264" s="297"/>
      <c r="KFY264" s="297"/>
      <c r="KFZ264" s="297"/>
      <c r="KGA264" s="297"/>
      <c r="KGB264" s="297"/>
      <c r="KGC264" s="297"/>
      <c r="KGD264" s="297"/>
      <c r="KGE264" s="297"/>
      <c r="KGF264" s="297"/>
      <c r="KGG264" s="297"/>
      <c r="KGH264" s="297"/>
      <c r="KGI264" s="297"/>
      <c r="KGJ264" s="297"/>
      <c r="KGK264" s="297"/>
      <c r="KGL264" s="297"/>
      <c r="KGM264" s="297"/>
      <c r="KGN264" s="297"/>
      <c r="KGO264" s="297"/>
      <c r="KGP264" s="297"/>
      <c r="KGQ264" s="297"/>
      <c r="KGR264" s="297"/>
      <c r="KGS264" s="297"/>
      <c r="KGT264" s="297"/>
      <c r="KGU264" s="297"/>
      <c r="KGV264" s="297"/>
      <c r="KGW264" s="297"/>
      <c r="KGX264" s="297"/>
      <c r="KGY264" s="297"/>
      <c r="KGZ264" s="297"/>
      <c r="KHA264" s="297"/>
      <c r="KHB264" s="297"/>
      <c r="KHC264" s="297"/>
      <c r="KHD264" s="297"/>
      <c r="KHE264" s="297"/>
      <c r="KHF264" s="297"/>
      <c r="KHG264" s="297"/>
      <c r="KHH264" s="297"/>
      <c r="KHI264" s="297"/>
      <c r="KHJ264" s="297"/>
      <c r="KHK264" s="297"/>
      <c r="KHL264" s="297"/>
      <c r="KHM264" s="297"/>
      <c r="KHN264" s="297"/>
      <c r="KHO264" s="297"/>
      <c r="KHP264" s="297"/>
      <c r="KHQ264" s="297"/>
      <c r="KHR264" s="297"/>
      <c r="KHS264" s="297"/>
      <c r="KHT264" s="297"/>
      <c r="KHU264" s="297"/>
      <c r="KHV264" s="297"/>
      <c r="KHW264" s="297"/>
      <c r="KHX264" s="297"/>
      <c r="KHY264" s="297"/>
      <c r="KHZ264" s="297"/>
      <c r="KIA264" s="297"/>
      <c r="KIB264" s="297"/>
      <c r="KIC264" s="297"/>
      <c r="KID264" s="297"/>
      <c r="KIE264" s="297"/>
      <c r="KIF264" s="297"/>
      <c r="KIG264" s="297"/>
      <c r="KIH264" s="297"/>
      <c r="KII264" s="297"/>
      <c r="KIJ264" s="297"/>
      <c r="KIK264" s="297"/>
      <c r="KIL264" s="297"/>
      <c r="KIM264" s="297"/>
      <c r="KIN264" s="297"/>
      <c r="KIO264" s="297"/>
      <c r="KIP264" s="297"/>
      <c r="KIQ264" s="297"/>
      <c r="KIR264" s="297"/>
      <c r="KIS264" s="297"/>
      <c r="KIT264" s="297"/>
      <c r="KIU264" s="297"/>
      <c r="KIV264" s="297"/>
      <c r="KIW264" s="297"/>
      <c r="KIX264" s="297"/>
      <c r="KIY264" s="297"/>
      <c r="KIZ264" s="297"/>
      <c r="KJA264" s="297"/>
      <c r="KJB264" s="297"/>
      <c r="KJC264" s="297"/>
      <c r="KJD264" s="297"/>
      <c r="KJE264" s="297"/>
      <c r="KJF264" s="297"/>
      <c r="KJG264" s="297"/>
      <c r="KJH264" s="297"/>
      <c r="KJI264" s="297"/>
      <c r="KJJ264" s="297"/>
      <c r="KJK264" s="297"/>
      <c r="KJL264" s="297"/>
      <c r="KJM264" s="297"/>
      <c r="KJN264" s="297"/>
      <c r="KJO264" s="297"/>
      <c r="KJP264" s="297"/>
      <c r="KJQ264" s="297"/>
      <c r="KJR264" s="297"/>
      <c r="KJS264" s="297"/>
      <c r="KJT264" s="297"/>
      <c r="KJU264" s="297"/>
      <c r="KJV264" s="297"/>
      <c r="KJW264" s="297"/>
      <c r="KJX264" s="297"/>
      <c r="KJY264" s="297"/>
      <c r="KJZ264" s="297"/>
      <c r="KKA264" s="297"/>
      <c r="KKB264" s="297"/>
      <c r="KKC264" s="297"/>
      <c r="KKD264" s="297"/>
      <c r="KKE264" s="297"/>
      <c r="KKF264" s="297"/>
      <c r="KKG264" s="297"/>
      <c r="KKH264" s="297"/>
      <c r="KKI264" s="297"/>
      <c r="KKJ264" s="297"/>
      <c r="KKK264" s="297"/>
      <c r="KKL264" s="297"/>
      <c r="KKM264" s="297"/>
      <c r="KKN264" s="297"/>
      <c r="KKO264" s="297"/>
      <c r="KKP264" s="297"/>
      <c r="KKQ264" s="297"/>
      <c r="KKR264" s="297"/>
      <c r="KKS264" s="297"/>
      <c r="KKT264" s="297"/>
      <c r="KKU264" s="297"/>
      <c r="KKV264" s="297"/>
      <c r="KKW264" s="297"/>
      <c r="KKX264" s="297"/>
      <c r="KKY264" s="297"/>
      <c r="KKZ264" s="297"/>
      <c r="KLA264" s="297"/>
      <c r="KLB264" s="297"/>
      <c r="KLC264" s="297"/>
      <c r="KLD264" s="297"/>
      <c r="KLE264" s="297"/>
      <c r="KLF264" s="297"/>
      <c r="KLG264" s="297"/>
      <c r="KLH264" s="297"/>
      <c r="KLI264" s="297"/>
      <c r="KLJ264" s="297"/>
      <c r="KLK264" s="297"/>
      <c r="KLL264" s="297"/>
      <c r="KLM264" s="297"/>
      <c r="KLN264" s="297"/>
      <c r="KLO264" s="297"/>
      <c r="KLP264" s="297"/>
      <c r="KLQ264" s="297"/>
      <c r="KLR264" s="297"/>
      <c r="KLS264" s="297"/>
      <c r="KLT264" s="297"/>
      <c r="KLU264" s="297"/>
      <c r="KLV264" s="297"/>
      <c r="KLW264" s="297"/>
      <c r="KLX264" s="297"/>
      <c r="KLY264" s="297"/>
      <c r="KLZ264" s="297"/>
      <c r="KMA264" s="297"/>
      <c r="KMB264" s="297"/>
      <c r="KMC264" s="297"/>
      <c r="KMD264" s="297"/>
      <c r="KME264" s="297"/>
      <c r="KMF264" s="297"/>
      <c r="KMG264" s="297"/>
      <c r="KMH264" s="297"/>
      <c r="KMI264" s="297"/>
      <c r="KMJ264" s="297"/>
      <c r="KMK264" s="297"/>
      <c r="KML264" s="297"/>
      <c r="KMM264" s="297"/>
      <c r="KMN264" s="297"/>
      <c r="KMO264" s="297"/>
      <c r="KMP264" s="297"/>
      <c r="KMQ264" s="297"/>
      <c r="KMR264" s="297"/>
      <c r="KMS264" s="297"/>
      <c r="KMT264" s="297"/>
      <c r="KMU264" s="297"/>
      <c r="KMV264" s="297"/>
      <c r="KMW264" s="297"/>
      <c r="KMX264" s="297"/>
      <c r="KMY264" s="297"/>
      <c r="KMZ264" s="297"/>
      <c r="KNA264" s="297"/>
      <c r="KNB264" s="297"/>
      <c r="KNC264" s="297"/>
      <c r="KND264" s="297"/>
      <c r="KNE264" s="297"/>
      <c r="KNF264" s="297"/>
      <c r="KNG264" s="297"/>
      <c r="KNH264" s="297"/>
      <c r="KNI264" s="297"/>
      <c r="KNJ264" s="297"/>
      <c r="KNK264" s="297"/>
      <c r="KNL264" s="297"/>
      <c r="KNM264" s="297"/>
      <c r="KNN264" s="297"/>
      <c r="KNO264" s="297"/>
      <c r="KNP264" s="297"/>
      <c r="KNQ264" s="297"/>
      <c r="KNR264" s="297"/>
      <c r="KNS264" s="297"/>
      <c r="KNT264" s="297"/>
      <c r="KNU264" s="297"/>
      <c r="KNV264" s="297"/>
      <c r="KNW264" s="297"/>
      <c r="KNX264" s="297"/>
      <c r="KNY264" s="297"/>
      <c r="KNZ264" s="297"/>
      <c r="KOA264" s="297"/>
      <c r="KOB264" s="297"/>
      <c r="KOC264" s="297"/>
      <c r="KOD264" s="297"/>
      <c r="KOE264" s="297"/>
      <c r="KOF264" s="297"/>
      <c r="KOG264" s="297"/>
      <c r="KOH264" s="297"/>
      <c r="KOI264" s="297"/>
      <c r="KOJ264" s="297"/>
      <c r="KOK264" s="297"/>
      <c r="KOL264" s="297"/>
      <c r="KOM264" s="297"/>
      <c r="KON264" s="297"/>
      <c r="KOO264" s="297"/>
      <c r="KOP264" s="297"/>
      <c r="KOQ264" s="297"/>
      <c r="KOR264" s="297"/>
      <c r="KOS264" s="297"/>
      <c r="KOT264" s="297"/>
      <c r="KOU264" s="297"/>
      <c r="KOV264" s="297"/>
      <c r="KOW264" s="297"/>
      <c r="KOX264" s="297"/>
      <c r="KOY264" s="297"/>
      <c r="KOZ264" s="297"/>
      <c r="KPA264" s="297"/>
      <c r="KPB264" s="297"/>
      <c r="KPC264" s="297"/>
      <c r="KPD264" s="297"/>
      <c r="KPE264" s="297"/>
      <c r="KPF264" s="297"/>
      <c r="KPG264" s="297"/>
      <c r="KPH264" s="297"/>
      <c r="KPI264" s="297"/>
      <c r="KPJ264" s="297"/>
      <c r="KPK264" s="297"/>
      <c r="KPL264" s="297"/>
      <c r="KPM264" s="297"/>
      <c r="KPN264" s="297"/>
      <c r="KPO264" s="297"/>
      <c r="KPP264" s="297"/>
      <c r="KPQ264" s="297"/>
      <c r="KPR264" s="297"/>
      <c r="KPS264" s="297"/>
      <c r="KPT264" s="297"/>
      <c r="KPU264" s="297"/>
      <c r="KPV264" s="297"/>
      <c r="KPW264" s="297"/>
      <c r="KPX264" s="297"/>
      <c r="KPY264" s="297"/>
      <c r="KPZ264" s="297"/>
      <c r="KQA264" s="297"/>
      <c r="KQB264" s="297"/>
      <c r="KQC264" s="297"/>
      <c r="KQD264" s="297"/>
      <c r="KQE264" s="297"/>
      <c r="KQF264" s="297"/>
      <c r="KQG264" s="297"/>
      <c r="KQH264" s="297"/>
      <c r="KQI264" s="297"/>
      <c r="KQJ264" s="297"/>
      <c r="KQK264" s="297"/>
      <c r="KQL264" s="297"/>
      <c r="KQM264" s="297"/>
      <c r="KQN264" s="297"/>
      <c r="KQO264" s="297"/>
      <c r="KQP264" s="297"/>
      <c r="KQQ264" s="297"/>
      <c r="KQR264" s="297"/>
      <c r="KQS264" s="297"/>
      <c r="KQT264" s="297"/>
      <c r="KQU264" s="297"/>
      <c r="KQV264" s="297"/>
      <c r="KQW264" s="297"/>
      <c r="KQX264" s="297"/>
      <c r="KQY264" s="297"/>
      <c r="KQZ264" s="297"/>
      <c r="KRA264" s="297"/>
      <c r="KRB264" s="297"/>
      <c r="KRC264" s="297"/>
      <c r="KRD264" s="297"/>
      <c r="KRE264" s="297"/>
      <c r="KRF264" s="297"/>
      <c r="KRG264" s="297"/>
      <c r="KRH264" s="297"/>
      <c r="KRI264" s="297"/>
      <c r="KRJ264" s="297"/>
      <c r="KRK264" s="297"/>
      <c r="KRL264" s="297"/>
      <c r="KRM264" s="297"/>
      <c r="KRN264" s="297"/>
      <c r="KRO264" s="297"/>
      <c r="KRP264" s="297"/>
      <c r="KRQ264" s="297"/>
      <c r="KRR264" s="297"/>
      <c r="KRS264" s="297"/>
      <c r="KRT264" s="297"/>
      <c r="KRU264" s="297"/>
      <c r="KRV264" s="297"/>
      <c r="KRW264" s="297"/>
      <c r="KRX264" s="297"/>
      <c r="KRY264" s="297"/>
      <c r="KRZ264" s="297"/>
      <c r="KSA264" s="297"/>
      <c r="KSB264" s="297"/>
      <c r="KSC264" s="297"/>
      <c r="KSD264" s="297"/>
      <c r="KSE264" s="297"/>
      <c r="KSF264" s="297"/>
      <c r="KSG264" s="297"/>
      <c r="KSH264" s="297"/>
      <c r="KSI264" s="297"/>
      <c r="KSJ264" s="297"/>
      <c r="KSK264" s="297"/>
      <c r="KSL264" s="297"/>
      <c r="KSM264" s="297"/>
      <c r="KSN264" s="297"/>
      <c r="KSO264" s="297"/>
      <c r="KSP264" s="297"/>
      <c r="KSQ264" s="297"/>
      <c r="KSR264" s="297"/>
      <c r="KSS264" s="297"/>
      <c r="KST264" s="297"/>
      <c r="KSU264" s="297"/>
      <c r="KSV264" s="297"/>
      <c r="KSW264" s="297"/>
      <c r="KSX264" s="297"/>
      <c r="KSY264" s="297"/>
      <c r="KSZ264" s="297"/>
      <c r="KTA264" s="297"/>
      <c r="KTB264" s="297"/>
      <c r="KTC264" s="297"/>
      <c r="KTD264" s="297"/>
      <c r="KTE264" s="297"/>
      <c r="KTF264" s="297"/>
      <c r="KTG264" s="297"/>
      <c r="KTH264" s="297"/>
      <c r="KTI264" s="297"/>
      <c r="KTJ264" s="297"/>
      <c r="KTK264" s="297"/>
      <c r="KTL264" s="297"/>
      <c r="KTM264" s="297"/>
      <c r="KTN264" s="297"/>
      <c r="KTO264" s="297"/>
      <c r="KTP264" s="297"/>
      <c r="KTQ264" s="297"/>
      <c r="KTR264" s="297"/>
      <c r="KTS264" s="297"/>
      <c r="KTT264" s="297"/>
      <c r="KTU264" s="297"/>
      <c r="KTV264" s="297"/>
      <c r="KTW264" s="297"/>
      <c r="KTX264" s="297"/>
      <c r="KTY264" s="297"/>
      <c r="KTZ264" s="297"/>
      <c r="KUA264" s="297"/>
      <c r="KUB264" s="297"/>
      <c r="KUC264" s="297"/>
      <c r="KUD264" s="297"/>
      <c r="KUE264" s="297"/>
      <c r="KUF264" s="297"/>
      <c r="KUG264" s="297"/>
      <c r="KUH264" s="297"/>
      <c r="KUI264" s="297"/>
      <c r="KUJ264" s="297"/>
      <c r="KUK264" s="297"/>
      <c r="KUL264" s="297"/>
      <c r="KUM264" s="297"/>
      <c r="KUN264" s="297"/>
      <c r="KUO264" s="297"/>
      <c r="KUP264" s="297"/>
      <c r="KUQ264" s="297"/>
      <c r="KUR264" s="297"/>
      <c r="KUS264" s="297"/>
      <c r="KUT264" s="297"/>
      <c r="KUU264" s="297"/>
      <c r="KUV264" s="297"/>
      <c r="KUW264" s="297"/>
      <c r="KUX264" s="297"/>
      <c r="KUY264" s="297"/>
      <c r="KUZ264" s="297"/>
      <c r="KVA264" s="297"/>
      <c r="KVB264" s="297"/>
      <c r="KVC264" s="297"/>
      <c r="KVD264" s="297"/>
      <c r="KVE264" s="297"/>
      <c r="KVF264" s="297"/>
      <c r="KVG264" s="297"/>
      <c r="KVH264" s="297"/>
      <c r="KVI264" s="297"/>
      <c r="KVJ264" s="297"/>
      <c r="KVK264" s="297"/>
      <c r="KVL264" s="297"/>
      <c r="KVM264" s="297"/>
      <c r="KVN264" s="297"/>
      <c r="KVO264" s="297"/>
      <c r="KVP264" s="297"/>
      <c r="KVQ264" s="297"/>
      <c r="KVR264" s="297"/>
      <c r="KVS264" s="297"/>
      <c r="KVT264" s="297"/>
      <c r="KVU264" s="297"/>
      <c r="KVV264" s="297"/>
      <c r="KVW264" s="297"/>
      <c r="KVX264" s="297"/>
      <c r="KVY264" s="297"/>
      <c r="KVZ264" s="297"/>
      <c r="KWA264" s="297"/>
      <c r="KWB264" s="297"/>
      <c r="KWC264" s="297"/>
      <c r="KWD264" s="297"/>
      <c r="KWE264" s="297"/>
      <c r="KWF264" s="297"/>
      <c r="KWG264" s="297"/>
      <c r="KWH264" s="297"/>
      <c r="KWI264" s="297"/>
      <c r="KWJ264" s="297"/>
      <c r="KWK264" s="297"/>
      <c r="KWL264" s="297"/>
      <c r="KWM264" s="297"/>
      <c r="KWN264" s="297"/>
      <c r="KWO264" s="297"/>
      <c r="KWP264" s="297"/>
      <c r="KWQ264" s="297"/>
      <c r="KWR264" s="297"/>
      <c r="KWS264" s="297"/>
      <c r="KWT264" s="297"/>
      <c r="KWU264" s="297"/>
      <c r="KWV264" s="297"/>
      <c r="KWW264" s="297"/>
      <c r="KWX264" s="297"/>
      <c r="KWY264" s="297"/>
      <c r="KWZ264" s="297"/>
      <c r="KXA264" s="297"/>
      <c r="KXB264" s="297"/>
      <c r="KXC264" s="297"/>
      <c r="KXD264" s="297"/>
      <c r="KXE264" s="297"/>
      <c r="KXF264" s="297"/>
      <c r="KXG264" s="297"/>
      <c r="KXH264" s="297"/>
      <c r="KXI264" s="297"/>
      <c r="KXJ264" s="297"/>
      <c r="KXK264" s="297"/>
      <c r="KXL264" s="297"/>
      <c r="KXM264" s="297"/>
      <c r="KXN264" s="297"/>
      <c r="KXO264" s="297"/>
      <c r="KXP264" s="297"/>
      <c r="KXQ264" s="297"/>
      <c r="KXR264" s="297"/>
      <c r="KXS264" s="297"/>
      <c r="KXT264" s="297"/>
      <c r="KXU264" s="297"/>
      <c r="KXV264" s="297"/>
      <c r="KXW264" s="297"/>
      <c r="KXX264" s="297"/>
      <c r="KXY264" s="297"/>
      <c r="KXZ264" s="297"/>
      <c r="KYA264" s="297"/>
      <c r="KYB264" s="297"/>
      <c r="KYC264" s="297"/>
      <c r="KYD264" s="297"/>
      <c r="KYE264" s="297"/>
      <c r="KYF264" s="297"/>
      <c r="KYG264" s="297"/>
      <c r="KYH264" s="297"/>
      <c r="KYI264" s="297"/>
      <c r="KYJ264" s="297"/>
      <c r="KYK264" s="297"/>
      <c r="KYL264" s="297"/>
      <c r="KYM264" s="297"/>
      <c r="KYN264" s="297"/>
      <c r="KYO264" s="297"/>
      <c r="KYP264" s="297"/>
      <c r="KYQ264" s="297"/>
      <c r="KYR264" s="297"/>
      <c r="KYS264" s="297"/>
      <c r="KYT264" s="297"/>
      <c r="KYU264" s="297"/>
      <c r="KYV264" s="297"/>
      <c r="KYW264" s="297"/>
      <c r="KYX264" s="297"/>
      <c r="KYY264" s="297"/>
      <c r="KYZ264" s="297"/>
      <c r="KZA264" s="297"/>
      <c r="KZB264" s="297"/>
      <c r="KZC264" s="297"/>
      <c r="KZD264" s="297"/>
      <c r="KZE264" s="297"/>
      <c r="KZF264" s="297"/>
      <c r="KZG264" s="297"/>
      <c r="KZH264" s="297"/>
      <c r="KZI264" s="297"/>
      <c r="KZJ264" s="297"/>
      <c r="KZK264" s="297"/>
      <c r="KZL264" s="297"/>
      <c r="KZM264" s="297"/>
      <c r="KZN264" s="297"/>
      <c r="KZO264" s="297"/>
      <c r="KZP264" s="297"/>
      <c r="KZQ264" s="297"/>
      <c r="KZR264" s="297"/>
      <c r="KZS264" s="297"/>
      <c r="KZT264" s="297"/>
      <c r="KZU264" s="297"/>
      <c r="KZV264" s="297"/>
      <c r="KZW264" s="297"/>
      <c r="KZX264" s="297"/>
      <c r="KZY264" s="297"/>
      <c r="KZZ264" s="297"/>
      <c r="LAA264" s="297"/>
      <c r="LAB264" s="297"/>
      <c r="LAC264" s="297"/>
      <c r="LAD264" s="297"/>
      <c r="LAE264" s="297"/>
      <c r="LAF264" s="297"/>
      <c r="LAG264" s="297"/>
      <c r="LAH264" s="297"/>
      <c r="LAI264" s="297"/>
      <c r="LAJ264" s="297"/>
      <c r="LAK264" s="297"/>
      <c r="LAL264" s="297"/>
      <c r="LAM264" s="297"/>
      <c r="LAN264" s="297"/>
      <c r="LAO264" s="297"/>
      <c r="LAP264" s="297"/>
      <c r="LAQ264" s="297"/>
      <c r="LAR264" s="297"/>
      <c r="LAS264" s="297"/>
      <c r="LAT264" s="297"/>
      <c r="LAU264" s="297"/>
      <c r="LAV264" s="297"/>
      <c r="LAW264" s="297"/>
      <c r="LAX264" s="297"/>
      <c r="LAY264" s="297"/>
      <c r="LAZ264" s="297"/>
      <c r="LBA264" s="297"/>
      <c r="LBB264" s="297"/>
      <c r="LBC264" s="297"/>
      <c r="LBD264" s="297"/>
      <c r="LBE264" s="297"/>
      <c r="LBF264" s="297"/>
      <c r="LBG264" s="297"/>
      <c r="LBH264" s="297"/>
      <c r="LBI264" s="297"/>
      <c r="LBJ264" s="297"/>
      <c r="LBK264" s="297"/>
      <c r="LBL264" s="297"/>
      <c r="LBM264" s="297"/>
      <c r="LBN264" s="297"/>
      <c r="LBO264" s="297"/>
      <c r="LBP264" s="297"/>
      <c r="LBQ264" s="297"/>
      <c r="LBR264" s="297"/>
      <c r="LBS264" s="297"/>
      <c r="LBT264" s="297"/>
      <c r="LBU264" s="297"/>
      <c r="LBV264" s="297"/>
      <c r="LBW264" s="297"/>
      <c r="LBX264" s="297"/>
      <c r="LBY264" s="297"/>
      <c r="LBZ264" s="297"/>
      <c r="LCA264" s="297"/>
      <c r="LCB264" s="297"/>
      <c r="LCC264" s="297"/>
      <c r="LCD264" s="297"/>
      <c r="LCE264" s="297"/>
      <c r="LCF264" s="297"/>
      <c r="LCG264" s="297"/>
      <c r="LCH264" s="297"/>
      <c r="LCI264" s="297"/>
      <c r="LCJ264" s="297"/>
      <c r="LCK264" s="297"/>
      <c r="LCL264" s="297"/>
      <c r="LCM264" s="297"/>
      <c r="LCN264" s="297"/>
      <c r="LCO264" s="297"/>
      <c r="LCP264" s="297"/>
      <c r="LCQ264" s="297"/>
      <c r="LCR264" s="297"/>
      <c r="LCS264" s="297"/>
      <c r="LCT264" s="297"/>
      <c r="LCU264" s="297"/>
      <c r="LCV264" s="297"/>
      <c r="LCW264" s="297"/>
      <c r="LCX264" s="297"/>
      <c r="LCY264" s="297"/>
      <c r="LCZ264" s="297"/>
      <c r="LDA264" s="297"/>
      <c r="LDB264" s="297"/>
      <c r="LDC264" s="297"/>
      <c r="LDD264" s="297"/>
      <c r="LDE264" s="297"/>
      <c r="LDF264" s="297"/>
      <c r="LDG264" s="297"/>
      <c r="LDH264" s="297"/>
      <c r="LDI264" s="297"/>
      <c r="LDJ264" s="297"/>
      <c r="LDK264" s="297"/>
      <c r="LDL264" s="297"/>
      <c r="LDM264" s="297"/>
      <c r="LDN264" s="297"/>
      <c r="LDO264" s="297"/>
      <c r="LDP264" s="297"/>
      <c r="LDQ264" s="297"/>
      <c r="LDR264" s="297"/>
      <c r="LDS264" s="297"/>
      <c r="LDT264" s="297"/>
      <c r="LDU264" s="297"/>
      <c r="LDV264" s="297"/>
      <c r="LDW264" s="297"/>
      <c r="LDX264" s="297"/>
      <c r="LDY264" s="297"/>
      <c r="LDZ264" s="297"/>
      <c r="LEA264" s="297"/>
      <c r="LEB264" s="297"/>
      <c r="LEC264" s="297"/>
      <c r="LED264" s="297"/>
      <c r="LEE264" s="297"/>
      <c r="LEF264" s="297"/>
      <c r="LEG264" s="297"/>
      <c r="LEH264" s="297"/>
      <c r="LEI264" s="297"/>
      <c r="LEJ264" s="297"/>
      <c r="LEK264" s="297"/>
      <c r="LEL264" s="297"/>
      <c r="LEM264" s="297"/>
      <c r="LEN264" s="297"/>
      <c r="LEO264" s="297"/>
      <c r="LEP264" s="297"/>
      <c r="LEQ264" s="297"/>
      <c r="LER264" s="297"/>
      <c r="LES264" s="297"/>
      <c r="LET264" s="297"/>
      <c r="LEU264" s="297"/>
      <c r="LEV264" s="297"/>
      <c r="LEW264" s="297"/>
      <c r="LEX264" s="297"/>
      <c r="LEY264" s="297"/>
      <c r="LEZ264" s="297"/>
      <c r="LFA264" s="297"/>
      <c r="LFB264" s="297"/>
      <c r="LFC264" s="297"/>
      <c r="LFD264" s="297"/>
      <c r="LFE264" s="297"/>
      <c r="LFF264" s="297"/>
      <c r="LFG264" s="297"/>
      <c r="LFH264" s="297"/>
      <c r="LFI264" s="297"/>
      <c r="LFJ264" s="297"/>
      <c r="LFK264" s="297"/>
      <c r="LFL264" s="297"/>
      <c r="LFM264" s="297"/>
      <c r="LFN264" s="297"/>
      <c r="LFO264" s="297"/>
      <c r="LFP264" s="297"/>
      <c r="LFQ264" s="297"/>
      <c r="LFR264" s="297"/>
      <c r="LFS264" s="297"/>
      <c r="LFT264" s="297"/>
      <c r="LFU264" s="297"/>
      <c r="LFV264" s="297"/>
      <c r="LFW264" s="297"/>
      <c r="LFX264" s="297"/>
      <c r="LFY264" s="297"/>
      <c r="LFZ264" s="297"/>
      <c r="LGA264" s="297"/>
      <c r="LGB264" s="297"/>
      <c r="LGC264" s="297"/>
      <c r="LGD264" s="297"/>
      <c r="LGE264" s="297"/>
      <c r="LGF264" s="297"/>
      <c r="LGG264" s="297"/>
      <c r="LGH264" s="297"/>
      <c r="LGI264" s="297"/>
      <c r="LGJ264" s="297"/>
      <c r="LGK264" s="297"/>
      <c r="LGL264" s="297"/>
      <c r="LGM264" s="297"/>
      <c r="LGN264" s="297"/>
      <c r="LGO264" s="297"/>
      <c r="LGP264" s="297"/>
      <c r="LGQ264" s="297"/>
      <c r="LGR264" s="297"/>
      <c r="LGS264" s="297"/>
      <c r="LGT264" s="297"/>
      <c r="LGU264" s="297"/>
      <c r="LGV264" s="297"/>
      <c r="LGW264" s="297"/>
      <c r="LGX264" s="297"/>
      <c r="LGY264" s="297"/>
      <c r="LGZ264" s="297"/>
      <c r="LHA264" s="297"/>
      <c r="LHB264" s="297"/>
      <c r="LHC264" s="297"/>
      <c r="LHD264" s="297"/>
      <c r="LHE264" s="297"/>
      <c r="LHF264" s="297"/>
      <c r="LHG264" s="297"/>
      <c r="LHH264" s="297"/>
      <c r="LHI264" s="297"/>
      <c r="LHJ264" s="297"/>
      <c r="LHK264" s="297"/>
      <c r="LHL264" s="297"/>
      <c r="LHM264" s="297"/>
      <c r="LHN264" s="297"/>
      <c r="LHO264" s="297"/>
      <c r="LHP264" s="297"/>
      <c r="LHQ264" s="297"/>
      <c r="LHR264" s="297"/>
      <c r="LHS264" s="297"/>
      <c r="LHT264" s="297"/>
      <c r="LHU264" s="297"/>
      <c r="LHV264" s="297"/>
      <c r="LHW264" s="297"/>
      <c r="LHX264" s="297"/>
      <c r="LHY264" s="297"/>
      <c r="LHZ264" s="297"/>
      <c r="LIA264" s="297"/>
      <c r="LIB264" s="297"/>
      <c r="LIC264" s="297"/>
      <c r="LID264" s="297"/>
      <c r="LIE264" s="297"/>
      <c r="LIF264" s="297"/>
      <c r="LIG264" s="297"/>
      <c r="LIH264" s="297"/>
      <c r="LII264" s="297"/>
      <c r="LIJ264" s="297"/>
      <c r="LIK264" s="297"/>
      <c r="LIL264" s="297"/>
      <c r="LIM264" s="297"/>
      <c r="LIN264" s="297"/>
      <c r="LIO264" s="297"/>
      <c r="LIP264" s="297"/>
      <c r="LIQ264" s="297"/>
      <c r="LIR264" s="297"/>
      <c r="LIS264" s="297"/>
      <c r="LIT264" s="297"/>
      <c r="LIU264" s="297"/>
      <c r="LIV264" s="297"/>
      <c r="LIW264" s="297"/>
      <c r="LIX264" s="297"/>
      <c r="LIY264" s="297"/>
      <c r="LIZ264" s="297"/>
      <c r="LJA264" s="297"/>
      <c r="LJB264" s="297"/>
      <c r="LJC264" s="297"/>
      <c r="LJD264" s="297"/>
      <c r="LJE264" s="297"/>
      <c r="LJF264" s="297"/>
      <c r="LJG264" s="297"/>
      <c r="LJH264" s="297"/>
      <c r="LJI264" s="297"/>
      <c r="LJJ264" s="297"/>
      <c r="LJK264" s="297"/>
      <c r="LJL264" s="297"/>
      <c r="LJM264" s="297"/>
      <c r="LJN264" s="297"/>
      <c r="LJO264" s="297"/>
      <c r="LJP264" s="297"/>
      <c r="LJQ264" s="297"/>
      <c r="LJR264" s="297"/>
      <c r="LJS264" s="297"/>
      <c r="LJT264" s="297"/>
      <c r="LJU264" s="297"/>
      <c r="LJV264" s="297"/>
      <c r="LJW264" s="297"/>
      <c r="LJX264" s="297"/>
      <c r="LJY264" s="297"/>
      <c r="LJZ264" s="297"/>
      <c r="LKA264" s="297"/>
      <c r="LKB264" s="297"/>
      <c r="LKC264" s="297"/>
      <c r="LKD264" s="297"/>
      <c r="LKE264" s="297"/>
      <c r="LKF264" s="297"/>
      <c r="LKG264" s="297"/>
      <c r="LKH264" s="297"/>
      <c r="LKI264" s="297"/>
      <c r="LKJ264" s="297"/>
      <c r="LKK264" s="297"/>
      <c r="LKL264" s="297"/>
      <c r="LKM264" s="297"/>
      <c r="LKN264" s="297"/>
      <c r="LKO264" s="297"/>
      <c r="LKP264" s="297"/>
      <c r="LKQ264" s="297"/>
      <c r="LKR264" s="297"/>
      <c r="LKS264" s="297"/>
      <c r="LKT264" s="297"/>
      <c r="LKU264" s="297"/>
      <c r="LKV264" s="297"/>
      <c r="LKW264" s="297"/>
      <c r="LKX264" s="297"/>
      <c r="LKY264" s="297"/>
      <c r="LKZ264" s="297"/>
      <c r="LLA264" s="297"/>
      <c r="LLB264" s="297"/>
      <c r="LLC264" s="297"/>
      <c r="LLD264" s="297"/>
      <c r="LLE264" s="297"/>
      <c r="LLF264" s="297"/>
      <c r="LLG264" s="297"/>
      <c r="LLH264" s="297"/>
      <c r="LLI264" s="297"/>
      <c r="LLJ264" s="297"/>
      <c r="LLK264" s="297"/>
      <c r="LLL264" s="297"/>
      <c r="LLM264" s="297"/>
      <c r="LLN264" s="297"/>
      <c r="LLO264" s="297"/>
      <c r="LLP264" s="297"/>
      <c r="LLQ264" s="297"/>
      <c r="LLR264" s="297"/>
      <c r="LLS264" s="297"/>
      <c r="LLT264" s="297"/>
      <c r="LLU264" s="297"/>
      <c r="LLV264" s="297"/>
      <c r="LLW264" s="297"/>
      <c r="LLX264" s="297"/>
      <c r="LLY264" s="297"/>
      <c r="LLZ264" s="297"/>
      <c r="LMA264" s="297"/>
      <c r="LMB264" s="297"/>
      <c r="LMC264" s="297"/>
      <c r="LMD264" s="297"/>
      <c r="LME264" s="297"/>
      <c r="LMF264" s="297"/>
      <c r="LMG264" s="297"/>
      <c r="LMH264" s="297"/>
      <c r="LMI264" s="297"/>
      <c r="LMJ264" s="297"/>
      <c r="LMK264" s="297"/>
      <c r="LML264" s="297"/>
      <c r="LMM264" s="297"/>
      <c r="LMN264" s="297"/>
      <c r="LMO264" s="297"/>
      <c r="LMP264" s="297"/>
      <c r="LMQ264" s="297"/>
      <c r="LMR264" s="297"/>
      <c r="LMS264" s="297"/>
      <c r="LMT264" s="297"/>
      <c r="LMU264" s="297"/>
      <c r="LMV264" s="297"/>
      <c r="LMW264" s="297"/>
      <c r="LMX264" s="297"/>
      <c r="LMY264" s="297"/>
      <c r="LMZ264" s="297"/>
      <c r="LNA264" s="297"/>
      <c r="LNB264" s="297"/>
      <c r="LNC264" s="297"/>
      <c r="LND264" s="297"/>
      <c r="LNE264" s="297"/>
      <c r="LNF264" s="297"/>
      <c r="LNG264" s="297"/>
      <c r="LNH264" s="297"/>
      <c r="LNI264" s="297"/>
      <c r="LNJ264" s="297"/>
      <c r="LNK264" s="297"/>
      <c r="LNL264" s="297"/>
      <c r="LNM264" s="297"/>
      <c r="LNN264" s="297"/>
      <c r="LNO264" s="297"/>
      <c r="LNP264" s="297"/>
      <c r="LNQ264" s="297"/>
      <c r="LNR264" s="297"/>
      <c r="LNS264" s="297"/>
      <c r="LNT264" s="297"/>
      <c r="LNU264" s="297"/>
      <c r="LNV264" s="297"/>
      <c r="LNW264" s="297"/>
      <c r="LNX264" s="297"/>
      <c r="LNY264" s="297"/>
      <c r="LNZ264" s="297"/>
      <c r="LOA264" s="297"/>
      <c r="LOB264" s="297"/>
      <c r="LOC264" s="297"/>
      <c r="LOD264" s="297"/>
      <c r="LOE264" s="297"/>
      <c r="LOF264" s="297"/>
      <c r="LOG264" s="297"/>
      <c r="LOH264" s="297"/>
      <c r="LOI264" s="297"/>
      <c r="LOJ264" s="297"/>
      <c r="LOK264" s="297"/>
      <c r="LOL264" s="297"/>
      <c r="LOM264" s="297"/>
      <c r="LON264" s="297"/>
      <c r="LOO264" s="297"/>
      <c r="LOP264" s="297"/>
      <c r="LOQ264" s="297"/>
      <c r="LOR264" s="297"/>
      <c r="LOS264" s="297"/>
      <c r="LOT264" s="297"/>
      <c r="LOU264" s="297"/>
      <c r="LOV264" s="297"/>
      <c r="LOW264" s="297"/>
      <c r="LOX264" s="297"/>
      <c r="LOY264" s="297"/>
      <c r="LOZ264" s="297"/>
      <c r="LPA264" s="297"/>
      <c r="LPB264" s="297"/>
      <c r="LPC264" s="297"/>
      <c r="LPD264" s="297"/>
      <c r="LPE264" s="297"/>
      <c r="LPF264" s="297"/>
      <c r="LPG264" s="297"/>
      <c r="LPH264" s="297"/>
      <c r="LPI264" s="297"/>
      <c r="LPJ264" s="297"/>
      <c r="LPK264" s="297"/>
      <c r="LPL264" s="297"/>
      <c r="LPM264" s="297"/>
      <c r="LPN264" s="297"/>
      <c r="LPO264" s="297"/>
      <c r="LPP264" s="297"/>
      <c r="LPQ264" s="297"/>
      <c r="LPR264" s="297"/>
      <c r="LPS264" s="297"/>
      <c r="LPT264" s="297"/>
      <c r="LPU264" s="297"/>
      <c r="LPV264" s="297"/>
      <c r="LPW264" s="297"/>
      <c r="LPX264" s="297"/>
      <c r="LPY264" s="297"/>
      <c r="LPZ264" s="297"/>
      <c r="LQA264" s="297"/>
      <c r="LQB264" s="297"/>
      <c r="LQC264" s="297"/>
      <c r="LQD264" s="297"/>
      <c r="LQE264" s="297"/>
      <c r="LQF264" s="297"/>
      <c r="LQG264" s="297"/>
      <c r="LQH264" s="297"/>
      <c r="LQI264" s="297"/>
      <c r="LQJ264" s="297"/>
      <c r="LQK264" s="297"/>
      <c r="LQL264" s="297"/>
      <c r="LQM264" s="297"/>
      <c r="LQN264" s="297"/>
      <c r="LQO264" s="297"/>
      <c r="LQP264" s="297"/>
      <c r="LQQ264" s="297"/>
      <c r="LQR264" s="297"/>
      <c r="LQS264" s="297"/>
      <c r="LQT264" s="297"/>
      <c r="LQU264" s="297"/>
      <c r="LQV264" s="297"/>
      <c r="LQW264" s="297"/>
      <c r="LQX264" s="297"/>
      <c r="LQY264" s="297"/>
      <c r="LQZ264" s="297"/>
      <c r="LRA264" s="297"/>
      <c r="LRB264" s="297"/>
      <c r="LRC264" s="297"/>
      <c r="LRD264" s="297"/>
      <c r="LRE264" s="297"/>
      <c r="LRF264" s="297"/>
      <c r="LRG264" s="297"/>
      <c r="LRH264" s="297"/>
      <c r="LRI264" s="297"/>
      <c r="LRJ264" s="297"/>
      <c r="LRK264" s="297"/>
      <c r="LRL264" s="297"/>
      <c r="LRM264" s="297"/>
      <c r="LRN264" s="297"/>
      <c r="LRO264" s="297"/>
      <c r="LRP264" s="297"/>
      <c r="LRQ264" s="297"/>
      <c r="LRR264" s="297"/>
      <c r="LRS264" s="297"/>
      <c r="LRT264" s="297"/>
      <c r="LRU264" s="297"/>
      <c r="LRV264" s="297"/>
      <c r="LRW264" s="297"/>
      <c r="LRX264" s="297"/>
      <c r="LRY264" s="297"/>
      <c r="LRZ264" s="297"/>
      <c r="LSA264" s="297"/>
      <c r="LSB264" s="297"/>
      <c r="LSC264" s="297"/>
      <c r="LSD264" s="297"/>
      <c r="LSE264" s="297"/>
      <c r="LSF264" s="297"/>
      <c r="LSG264" s="297"/>
      <c r="LSH264" s="297"/>
      <c r="LSI264" s="297"/>
      <c r="LSJ264" s="297"/>
      <c r="LSK264" s="297"/>
      <c r="LSL264" s="297"/>
      <c r="LSM264" s="297"/>
      <c r="LSN264" s="297"/>
      <c r="LSO264" s="297"/>
      <c r="LSP264" s="297"/>
      <c r="LSQ264" s="297"/>
      <c r="LSR264" s="297"/>
      <c r="LSS264" s="297"/>
      <c r="LST264" s="297"/>
      <c r="LSU264" s="297"/>
      <c r="LSV264" s="297"/>
      <c r="LSW264" s="297"/>
      <c r="LSX264" s="297"/>
      <c r="LSY264" s="297"/>
      <c r="LSZ264" s="297"/>
      <c r="LTA264" s="297"/>
      <c r="LTB264" s="297"/>
      <c r="LTC264" s="297"/>
      <c r="LTD264" s="297"/>
      <c r="LTE264" s="297"/>
      <c r="LTF264" s="297"/>
      <c r="LTG264" s="297"/>
      <c r="LTH264" s="297"/>
      <c r="LTI264" s="297"/>
      <c r="LTJ264" s="297"/>
      <c r="LTK264" s="297"/>
      <c r="LTL264" s="297"/>
      <c r="LTM264" s="297"/>
      <c r="LTN264" s="297"/>
      <c r="LTO264" s="297"/>
      <c r="LTP264" s="297"/>
      <c r="LTQ264" s="297"/>
      <c r="LTR264" s="297"/>
      <c r="LTS264" s="297"/>
      <c r="LTT264" s="297"/>
      <c r="LTU264" s="297"/>
      <c r="LTV264" s="297"/>
      <c r="LTW264" s="297"/>
      <c r="LTX264" s="297"/>
      <c r="LTY264" s="297"/>
      <c r="LTZ264" s="297"/>
      <c r="LUA264" s="297"/>
      <c r="LUB264" s="297"/>
      <c r="LUC264" s="297"/>
      <c r="LUD264" s="297"/>
      <c r="LUE264" s="297"/>
      <c r="LUF264" s="297"/>
      <c r="LUG264" s="297"/>
      <c r="LUH264" s="297"/>
      <c r="LUI264" s="297"/>
      <c r="LUJ264" s="297"/>
      <c r="LUK264" s="297"/>
      <c r="LUL264" s="297"/>
      <c r="LUM264" s="297"/>
      <c r="LUN264" s="297"/>
      <c r="LUO264" s="297"/>
      <c r="LUP264" s="297"/>
      <c r="LUQ264" s="297"/>
      <c r="LUR264" s="297"/>
      <c r="LUS264" s="297"/>
      <c r="LUT264" s="297"/>
      <c r="LUU264" s="297"/>
      <c r="LUV264" s="297"/>
      <c r="LUW264" s="297"/>
      <c r="LUX264" s="297"/>
      <c r="LUY264" s="297"/>
      <c r="LUZ264" s="297"/>
      <c r="LVA264" s="297"/>
      <c r="LVB264" s="297"/>
      <c r="LVC264" s="297"/>
      <c r="LVD264" s="297"/>
      <c r="LVE264" s="297"/>
      <c r="LVF264" s="297"/>
      <c r="LVG264" s="297"/>
      <c r="LVH264" s="297"/>
      <c r="LVI264" s="297"/>
      <c r="LVJ264" s="297"/>
      <c r="LVK264" s="297"/>
      <c r="LVL264" s="297"/>
      <c r="LVM264" s="297"/>
      <c r="LVN264" s="297"/>
      <c r="LVO264" s="297"/>
      <c r="LVP264" s="297"/>
      <c r="LVQ264" s="297"/>
      <c r="LVR264" s="297"/>
      <c r="LVS264" s="297"/>
      <c r="LVT264" s="297"/>
      <c r="LVU264" s="297"/>
      <c r="LVV264" s="297"/>
      <c r="LVW264" s="297"/>
      <c r="LVX264" s="297"/>
      <c r="LVY264" s="297"/>
      <c r="LVZ264" s="297"/>
      <c r="LWA264" s="297"/>
      <c r="LWB264" s="297"/>
      <c r="LWC264" s="297"/>
      <c r="LWD264" s="297"/>
      <c r="LWE264" s="297"/>
      <c r="LWF264" s="297"/>
      <c r="LWG264" s="297"/>
      <c r="LWH264" s="297"/>
      <c r="LWI264" s="297"/>
      <c r="LWJ264" s="297"/>
      <c r="LWK264" s="297"/>
      <c r="LWL264" s="297"/>
      <c r="LWM264" s="297"/>
      <c r="LWN264" s="297"/>
      <c r="LWO264" s="297"/>
      <c r="LWP264" s="297"/>
      <c r="LWQ264" s="297"/>
      <c r="LWR264" s="297"/>
      <c r="LWS264" s="297"/>
      <c r="LWT264" s="297"/>
      <c r="LWU264" s="297"/>
      <c r="LWV264" s="297"/>
      <c r="LWW264" s="297"/>
      <c r="LWX264" s="297"/>
      <c r="LWY264" s="297"/>
      <c r="LWZ264" s="297"/>
      <c r="LXA264" s="297"/>
      <c r="LXB264" s="297"/>
      <c r="LXC264" s="297"/>
      <c r="LXD264" s="297"/>
      <c r="LXE264" s="297"/>
      <c r="LXF264" s="297"/>
      <c r="LXG264" s="297"/>
      <c r="LXH264" s="297"/>
      <c r="LXI264" s="297"/>
      <c r="LXJ264" s="297"/>
      <c r="LXK264" s="297"/>
      <c r="LXL264" s="297"/>
      <c r="LXM264" s="297"/>
      <c r="LXN264" s="297"/>
      <c r="LXO264" s="297"/>
      <c r="LXP264" s="297"/>
      <c r="LXQ264" s="297"/>
      <c r="LXR264" s="297"/>
      <c r="LXS264" s="297"/>
      <c r="LXT264" s="297"/>
      <c r="LXU264" s="297"/>
      <c r="LXV264" s="297"/>
      <c r="LXW264" s="297"/>
      <c r="LXX264" s="297"/>
      <c r="LXY264" s="297"/>
      <c r="LXZ264" s="297"/>
      <c r="LYA264" s="297"/>
      <c r="LYB264" s="297"/>
      <c r="LYC264" s="297"/>
      <c r="LYD264" s="297"/>
      <c r="LYE264" s="297"/>
      <c r="LYF264" s="297"/>
      <c r="LYG264" s="297"/>
      <c r="LYH264" s="297"/>
      <c r="LYI264" s="297"/>
      <c r="LYJ264" s="297"/>
      <c r="LYK264" s="297"/>
      <c r="LYL264" s="297"/>
      <c r="LYM264" s="297"/>
      <c r="LYN264" s="297"/>
      <c r="LYO264" s="297"/>
      <c r="LYP264" s="297"/>
      <c r="LYQ264" s="297"/>
      <c r="LYR264" s="297"/>
      <c r="LYS264" s="297"/>
      <c r="LYT264" s="297"/>
      <c r="LYU264" s="297"/>
      <c r="LYV264" s="297"/>
      <c r="LYW264" s="297"/>
      <c r="LYX264" s="297"/>
      <c r="LYY264" s="297"/>
      <c r="LYZ264" s="297"/>
      <c r="LZA264" s="297"/>
      <c r="LZB264" s="297"/>
      <c r="LZC264" s="297"/>
      <c r="LZD264" s="297"/>
      <c r="LZE264" s="297"/>
      <c r="LZF264" s="297"/>
      <c r="LZG264" s="297"/>
      <c r="LZH264" s="297"/>
      <c r="LZI264" s="297"/>
      <c r="LZJ264" s="297"/>
      <c r="LZK264" s="297"/>
      <c r="LZL264" s="297"/>
      <c r="LZM264" s="297"/>
      <c r="LZN264" s="297"/>
      <c r="LZO264" s="297"/>
      <c r="LZP264" s="297"/>
      <c r="LZQ264" s="297"/>
      <c r="LZR264" s="297"/>
      <c r="LZS264" s="297"/>
      <c r="LZT264" s="297"/>
      <c r="LZU264" s="297"/>
      <c r="LZV264" s="297"/>
      <c r="LZW264" s="297"/>
      <c r="LZX264" s="297"/>
      <c r="LZY264" s="297"/>
      <c r="LZZ264" s="297"/>
      <c r="MAA264" s="297"/>
      <c r="MAB264" s="297"/>
      <c r="MAC264" s="297"/>
      <c r="MAD264" s="297"/>
      <c r="MAE264" s="297"/>
      <c r="MAF264" s="297"/>
      <c r="MAG264" s="297"/>
      <c r="MAH264" s="297"/>
      <c r="MAI264" s="297"/>
      <c r="MAJ264" s="297"/>
      <c r="MAK264" s="297"/>
      <c r="MAL264" s="297"/>
      <c r="MAM264" s="297"/>
      <c r="MAN264" s="297"/>
      <c r="MAO264" s="297"/>
      <c r="MAP264" s="297"/>
      <c r="MAQ264" s="297"/>
      <c r="MAR264" s="297"/>
      <c r="MAS264" s="297"/>
      <c r="MAT264" s="297"/>
      <c r="MAU264" s="297"/>
      <c r="MAV264" s="297"/>
      <c r="MAW264" s="297"/>
      <c r="MAX264" s="297"/>
      <c r="MAY264" s="297"/>
      <c r="MAZ264" s="297"/>
      <c r="MBA264" s="297"/>
      <c r="MBB264" s="297"/>
      <c r="MBC264" s="297"/>
      <c r="MBD264" s="297"/>
      <c r="MBE264" s="297"/>
      <c r="MBF264" s="297"/>
      <c r="MBG264" s="297"/>
      <c r="MBH264" s="297"/>
      <c r="MBI264" s="297"/>
      <c r="MBJ264" s="297"/>
      <c r="MBK264" s="297"/>
      <c r="MBL264" s="297"/>
      <c r="MBM264" s="297"/>
      <c r="MBN264" s="297"/>
      <c r="MBO264" s="297"/>
      <c r="MBP264" s="297"/>
      <c r="MBQ264" s="297"/>
      <c r="MBR264" s="297"/>
      <c r="MBS264" s="297"/>
      <c r="MBT264" s="297"/>
      <c r="MBU264" s="297"/>
      <c r="MBV264" s="297"/>
      <c r="MBW264" s="297"/>
      <c r="MBX264" s="297"/>
      <c r="MBY264" s="297"/>
      <c r="MBZ264" s="297"/>
      <c r="MCA264" s="297"/>
      <c r="MCB264" s="297"/>
      <c r="MCC264" s="297"/>
      <c r="MCD264" s="297"/>
      <c r="MCE264" s="297"/>
      <c r="MCF264" s="297"/>
      <c r="MCG264" s="297"/>
      <c r="MCH264" s="297"/>
      <c r="MCI264" s="297"/>
      <c r="MCJ264" s="297"/>
      <c r="MCK264" s="297"/>
      <c r="MCL264" s="297"/>
      <c r="MCM264" s="297"/>
      <c r="MCN264" s="297"/>
      <c r="MCO264" s="297"/>
      <c r="MCP264" s="297"/>
      <c r="MCQ264" s="297"/>
      <c r="MCR264" s="297"/>
      <c r="MCS264" s="297"/>
      <c r="MCT264" s="297"/>
      <c r="MCU264" s="297"/>
      <c r="MCV264" s="297"/>
      <c r="MCW264" s="297"/>
      <c r="MCX264" s="297"/>
      <c r="MCY264" s="297"/>
      <c r="MCZ264" s="297"/>
      <c r="MDA264" s="297"/>
      <c r="MDB264" s="297"/>
      <c r="MDC264" s="297"/>
      <c r="MDD264" s="297"/>
      <c r="MDE264" s="297"/>
      <c r="MDF264" s="297"/>
      <c r="MDG264" s="297"/>
      <c r="MDH264" s="297"/>
      <c r="MDI264" s="297"/>
      <c r="MDJ264" s="297"/>
      <c r="MDK264" s="297"/>
      <c r="MDL264" s="297"/>
      <c r="MDM264" s="297"/>
      <c r="MDN264" s="297"/>
      <c r="MDO264" s="297"/>
      <c r="MDP264" s="297"/>
      <c r="MDQ264" s="297"/>
      <c r="MDR264" s="297"/>
      <c r="MDS264" s="297"/>
      <c r="MDT264" s="297"/>
      <c r="MDU264" s="297"/>
      <c r="MDV264" s="297"/>
      <c r="MDW264" s="297"/>
      <c r="MDX264" s="297"/>
      <c r="MDY264" s="297"/>
      <c r="MDZ264" s="297"/>
      <c r="MEA264" s="297"/>
      <c r="MEB264" s="297"/>
      <c r="MEC264" s="297"/>
      <c r="MED264" s="297"/>
      <c r="MEE264" s="297"/>
      <c r="MEF264" s="297"/>
      <c r="MEG264" s="297"/>
      <c r="MEH264" s="297"/>
      <c r="MEI264" s="297"/>
      <c r="MEJ264" s="297"/>
      <c r="MEK264" s="297"/>
      <c r="MEL264" s="297"/>
      <c r="MEM264" s="297"/>
      <c r="MEN264" s="297"/>
      <c r="MEO264" s="297"/>
      <c r="MEP264" s="297"/>
      <c r="MEQ264" s="297"/>
      <c r="MER264" s="297"/>
      <c r="MES264" s="297"/>
      <c r="MET264" s="297"/>
      <c r="MEU264" s="297"/>
      <c r="MEV264" s="297"/>
      <c r="MEW264" s="297"/>
      <c r="MEX264" s="297"/>
      <c r="MEY264" s="297"/>
      <c r="MEZ264" s="297"/>
      <c r="MFA264" s="297"/>
      <c r="MFB264" s="297"/>
      <c r="MFC264" s="297"/>
      <c r="MFD264" s="297"/>
      <c r="MFE264" s="297"/>
      <c r="MFF264" s="297"/>
      <c r="MFG264" s="297"/>
      <c r="MFH264" s="297"/>
      <c r="MFI264" s="297"/>
      <c r="MFJ264" s="297"/>
      <c r="MFK264" s="297"/>
      <c r="MFL264" s="297"/>
      <c r="MFM264" s="297"/>
      <c r="MFN264" s="297"/>
      <c r="MFO264" s="297"/>
      <c r="MFP264" s="297"/>
      <c r="MFQ264" s="297"/>
      <c r="MFR264" s="297"/>
      <c r="MFS264" s="297"/>
      <c r="MFT264" s="297"/>
      <c r="MFU264" s="297"/>
      <c r="MFV264" s="297"/>
      <c r="MFW264" s="297"/>
      <c r="MFX264" s="297"/>
      <c r="MFY264" s="297"/>
      <c r="MFZ264" s="297"/>
      <c r="MGA264" s="297"/>
      <c r="MGB264" s="297"/>
      <c r="MGC264" s="297"/>
      <c r="MGD264" s="297"/>
      <c r="MGE264" s="297"/>
      <c r="MGF264" s="297"/>
      <c r="MGG264" s="297"/>
      <c r="MGH264" s="297"/>
      <c r="MGI264" s="297"/>
      <c r="MGJ264" s="297"/>
      <c r="MGK264" s="297"/>
      <c r="MGL264" s="297"/>
      <c r="MGM264" s="297"/>
      <c r="MGN264" s="297"/>
      <c r="MGO264" s="297"/>
      <c r="MGP264" s="297"/>
      <c r="MGQ264" s="297"/>
      <c r="MGR264" s="297"/>
      <c r="MGS264" s="297"/>
      <c r="MGT264" s="297"/>
      <c r="MGU264" s="297"/>
      <c r="MGV264" s="297"/>
      <c r="MGW264" s="297"/>
      <c r="MGX264" s="297"/>
      <c r="MGY264" s="297"/>
      <c r="MGZ264" s="297"/>
      <c r="MHA264" s="297"/>
      <c r="MHB264" s="297"/>
      <c r="MHC264" s="297"/>
      <c r="MHD264" s="297"/>
      <c r="MHE264" s="297"/>
      <c r="MHF264" s="297"/>
      <c r="MHG264" s="297"/>
      <c r="MHH264" s="297"/>
      <c r="MHI264" s="297"/>
      <c r="MHJ264" s="297"/>
      <c r="MHK264" s="297"/>
      <c r="MHL264" s="297"/>
      <c r="MHM264" s="297"/>
      <c r="MHN264" s="297"/>
      <c r="MHO264" s="297"/>
      <c r="MHP264" s="297"/>
      <c r="MHQ264" s="297"/>
      <c r="MHR264" s="297"/>
      <c r="MHS264" s="297"/>
      <c r="MHT264" s="297"/>
      <c r="MHU264" s="297"/>
      <c r="MHV264" s="297"/>
      <c r="MHW264" s="297"/>
      <c r="MHX264" s="297"/>
      <c r="MHY264" s="297"/>
      <c r="MHZ264" s="297"/>
      <c r="MIA264" s="297"/>
      <c r="MIB264" s="297"/>
      <c r="MIC264" s="297"/>
      <c r="MID264" s="297"/>
      <c r="MIE264" s="297"/>
      <c r="MIF264" s="297"/>
      <c r="MIG264" s="297"/>
      <c r="MIH264" s="297"/>
      <c r="MII264" s="297"/>
      <c r="MIJ264" s="297"/>
      <c r="MIK264" s="297"/>
      <c r="MIL264" s="297"/>
      <c r="MIM264" s="297"/>
      <c r="MIN264" s="297"/>
      <c r="MIO264" s="297"/>
      <c r="MIP264" s="297"/>
      <c r="MIQ264" s="297"/>
      <c r="MIR264" s="297"/>
      <c r="MIS264" s="297"/>
      <c r="MIT264" s="297"/>
      <c r="MIU264" s="297"/>
      <c r="MIV264" s="297"/>
      <c r="MIW264" s="297"/>
      <c r="MIX264" s="297"/>
      <c r="MIY264" s="297"/>
      <c r="MIZ264" s="297"/>
      <c r="MJA264" s="297"/>
      <c r="MJB264" s="297"/>
      <c r="MJC264" s="297"/>
      <c r="MJD264" s="297"/>
      <c r="MJE264" s="297"/>
      <c r="MJF264" s="297"/>
      <c r="MJG264" s="297"/>
      <c r="MJH264" s="297"/>
      <c r="MJI264" s="297"/>
      <c r="MJJ264" s="297"/>
      <c r="MJK264" s="297"/>
      <c r="MJL264" s="297"/>
      <c r="MJM264" s="297"/>
      <c r="MJN264" s="297"/>
      <c r="MJO264" s="297"/>
      <c r="MJP264" s="297"/>
      <c r="MJQ264" s="297"/>
      <c r="MJR264" s="297"/>
      <c r="MJS264" s="297"/>
      <c r="MJT264" s="297"/>
      <c r="MJU264" s="297"/>
      <c r="MJV264" s="297"/>
      <c r="MJW264" s="297"/>
      <c r="MJX264" s="297"/>
      <c r="MJY264" s="297"/>
      <c r="MJZ264" s="297"/>
      <c r="MKA264" s="297"/>
      <c r="MKB264" s="297"/>
      <c r="MKC264" s="297"/>
      <c r="MKD264" s="297"/>
      <c r="MKE264" s="297"/>
      <c r="MKF264" s="297"/>
      <c r="MKG264" s="297"/>
      <c r="MKH264" s="297"/>
      <c r="MKI264" s="297"/>
      <c r="MKJ264" s="297"/>
      <c r="MKK264" s="297"/>
      <c r="MKL264" s="297"/>
      <c r="MKM264" s="297"/>
      <c r="MKN264" s="297"/>
      <c r="MKO264" s="297"/>
      <c r="MKP264" s="297"/>
      <c r="MKQ264" s="297"/>
      <c r="MKR264" s="297"/>
      <c r="MKS264" s="297"/>
      <c r="MKT264" s="297"/>
      <c r="MKU264" s="297"/>
      <c r="MKV264" s="297"/>
      <c r="MKW264" s="297"/>
      <c r="MKX264" s="297"/>
      <c r="MKY264" s="297"/>
      <c r="MKZ264" s="297"/>
      <c r="MLA264" s="297"/>
      <c r="MLB264" s="297"/>
      <c r="MLC264" s="297"/>
      <c r="MLD264" s="297"/>
      <c r="MLE264" s="297"/>
      <c r="MLF264" s="297"/>
      <c r="MLG264" s="297"/>
      <c r="MLH264" s="297"/>
      <c r="MLI264" s="297"/>
      <c r="MLJ264" s="297"/>
      <c r="MLK264" s="297"/>
      <c r="MLL264" s="297"/>
      <c r="MLM264" s="297"/>
      <c r="MLN264" s="297"/>
      <c r="MLO264" s="297"/>
      <c r="MLP264" s="297"/>
      <c r="MLQ264" s="297"/>
      <c r="MLR264" s="297"/>
      <c r="MLS264" s="297"/>
      <c r="MLT264" s="297"/>
      <c r="MLU264" s="297"/>
      <c r="MLV264" s="297"/>
      <c r="MLW264" s="297"/>
      <c r="MLX264" s="297"/>
      <c r="MLY264" s="297"/>
      <c r="MLZ264" s="297"/>
      <c r="MMA264" s="297"/>
      <c r="MMB264" s="297"/>
      <c r="MMC264" s="297"/>
      <c r="MMD264" s="297"/>
      <c r="MME264" s="297"/>
      <c r="MMF264" s="297"/>
      <c r="MMG264" s="297"/>
      <c r="MMH264" s="297"/>
      <c r="MMI264" s="297"/>
      <c r="MMJ264" s="297"/>
      <c r="MMK264" s="297"/>
      <c r="MML264" s="297"/>
      <c r="MMM264" s="297"/>
      <c r="MMN264" s="297"/>
      <c r="MMO264" s="297"/>
      <c r="MMP264" s="297"/>
      <c r="MMQ264" s="297"/>
      <c r="MMR264" s="297"/>
      <c r="MMS264" s="297"/>
      <c r="MMT264" s="297"/>
      <c r="MMU264" s="297"/>
      <c r="MMV264" s="297"/>
      <c r="MMW264" s="297"/>
      <c r="MMX264" s="297"/>
      <c r="MMY264" s="297"/>
      <c r="MMZ264" s="297"/>
      <c r="MNA264" s="297"/>
      <c r="MNB264" s="297"/>
      <c r="MNC264" s="297"/>
      <c r="MND264" s="297"/>
      <c r="MNE264" s="297"/>
      <c r="MNF264" s="297"/>
      <c r="MNG264" s="297"/>
      <c r="MNH264" s="297"/>
      <c r="MNI264" s="297"/>
      <c r="MNJ264" s="297"/>
      <c r="MNK264" s="297"/>
      <c r="MNL264" s="297"/>
      <c r="MNM264" s="297"/>
      <c r="MNN264" s="297"/>
      <c r="MNO264" s="297"/>
      <c r="MNP264" s="297"/>
      <c r="MNQ264" s="297"/>
      <c r="MNR264" s="297"/>
      <c r="MNS264" s="297"/>
      <c r="MNT264" s="297"/>
      <c r="MNU264" s="297"/>
      <c r="MNV264" s="297"/>
      <c r="MNW264" s="297"/>
      <c r="MNX264" s="297"/>
      <c r="MNY264" s="297"/>
      <c r="MNZ264" s="297"/>
      <c r="MOA264" s="297"/>
      <c r="MOB264" s="297"/>
      <c r="MOC264" s="297"/>
      <c r="MOD264" s="297"/>
      <c r="MOE264" s="297"/>
      <c r="MOF264" s="297"/>
      <c r="MOG264" s="297"/>
      <c r="MOH264" s="297"/>
      <c r="MOI264" s="297"/>
      <c r="MOJ264" s="297"/>
      <c r="MOK264" s="297"/>
      <c r="MOL264" s="297"/>
      <c r="MOM264" s="297"/>
      <c r="MON264" s="297"/>
      <c r="MOO264" s="297"/>
      <c r="MOP264" s="297"/>
      <c r="MOQ264" s="297"/>
      <c r="MOR264" s="297"/>
      <c r="MOS264" s="297"/>
      <c r="MOT264" s="297"/>
      <c r="MOU264" s="297"/>
      <c r="MOV264" s="297"/>
      <c r="MOW264" s="297"/>
      <c r="MOX264" s="297"/>
      <c r="MOY264" s="297"/>
      <c r="MOZ264" s="297"/>
      <c r="MPA264" s="297"/>
      <c r="MPB264" s="297"/>
      <c r="MPC264" s="297"/>
      <c r="MPD264" s="297"/>
      <c r="MPE264" s="297"/>
      <c r="MPF264" s="297"/>
      <c r="MPG264" s="297"/>
      <c r="MPH264" s="297"/>
      <c r="MPI264" s="297"/>
      <c r="MPJ264" s="297"/>
      <c r="MPK264" s="297"/>
      <c r="MPL264" s="297"/>
      <c r="MPM264" s="297"/>
      <c r="MPN264" s="297"/>
      <c r="MPO264" s="297"/>
      <c r="MPP264" s="297"/>
      <c r="MPQ264" s="297"/>
      <c r="MPR264" s="297"/>
      <c r="MPS264" s="297"/>
      <c r="MPT264" s="297"/>
      <c r="MPU264" s="297"/>
      <c r="MPV264" s="297"/>
      <c r="MPW264" s="297"/>
      <c r="MPX264" s="297"/>
      <c r="MPY264" s="297"/>
      <c r="MPZ264" s="297"/>
      <c r="MQA264" s="297"/>
      <c r="MQB264" s="297"/>
      <c r="MQC264" s="297"/>
      <c r="MQD264" s="297"/>
      <c r="MQE264" s="297"/>
      <c r="MQF264" s="297"/>
      <c r="MQG264" s="297"/>
      <c r="MQH264" s="297"/>
      <c r="MQI264" s="297"/>
      <c r="MQJ264" s="297"/>
      <c r="MQK264" s="297"/>
      <c r="MQL264" s="297"/>
      <c r="MQM264" s="297"/>
      <c r="MQN264" s="297"/>
      <c r="MQO264" s="297"/>
      <c r="MQP264" s="297"/>
      <c r="MQQ264" s="297"/>
      <c r="MQR264" s="297"/>
      <c r="MQS264" s="297"/>
      <c r="MQT264" s="297"/>
      <c r="MQU264" s="297"/>
      <c r="MQV264" s="297"/>
      <c r="MQW264" s="297"/>
      <c r="MQX264" s="297"/>
      <c r="MQY264" s="297"/>
      <c r="MQZ264" s="297"/>
      <c r="MRA264" s="297"/>
      <c r="MRB264" s="297"/>
      <c r="MRC264" s="297"/>
      <c r="MRD264" s="297"/>
      <c r="MRE264" s="297"/>
      <c r="MRF264" s="297"/>
      <c r="MRG264" s="297"/>
      <c r="MRH264" s="297"/>
      <c r="MRI264" s="297"/>
      <c r="MRJ264" s="297"/>
      <c r="MRK264" s="297"/>
      <c r="MRL264" s="297"/>
      <c r="MRM264" s="297"/>
      <c r="MRN264" s="297"/>
      <c r="MRO264" s="297"/>
      <c r="MRP264" s="297"/>
      <c r="MRQ264" s="297"/>
      <c r="MRR264" s="297"/>
      <c r="MRS264" s="297"/>
      <c r="MRT264" s="297"/>
      <c r="MRU264" s="297"/>
      <c r="MRV264" s="297"/>
      <c r="MRW264" s="297"/>
      <c r="MRX264" s="297"/>
      <c r="MRY264" s="297"/>
      <c r="MRZ264" s="297"/>
      <c r="MSA264" s="297"/>
      <c r="MSB264" s="297"/>
      <c r="MSC264" s="297"/>
      <c r="MSD264" s="297"/>
      <c r="MSE264" s="297"/>
      <c r="MSF264" s="297"/>
      <c r="MSG264" s="297"/>
      <c r="MSH264" s="297"/>
      <c r="MSI264" s="297"/>
      <c r="MSJ264" s="297"/>
      <c r="MSK264" s="297"/>
      <c r="MSL264" s="297"/>
      <c r="MSM264" s="297"/>
      <c r="MSN264" s="297"/>
      <c r="MSO264" s="297"/>
      <c r="MSP264" s="297"/>
      <c r="MSQ264" s="297"/>
      <c r="MSR264" s="297"/>
      <c r="MSS264" s="297"/>
      <c r="MST264" s="297"/>
      <c r="MSU264" s="297"/>
      <c r="MSV264" s="297"/>
      <c r="MSW264" s="297"/>
      <c r="MSX264" s="297"/>
      <c r="MSY264" s="297"/>
      <c r="MSZ264" s="297"/>
      <c r="MTA264" s="297"/>
      <c r="MTB264" s="297"/>
      <c r="MTC264" s="297"/>
      <c r="MTD264" s="297"/>
      <c r="MTE264" s="297"/>
      <c r="MTF264" s="297"/>
      <c r="MTG264" s="297"/>
      <c r="MTH264" s="297"/>
      <c r="MTI264" s="297"/>
      <c r="MTJ264" s="297"/>
      <c r="MTK264" s="297"/>
      <c r="MTL264" s="297"/>
      <c r="MTM264" s="297"/>
      <c r="MTN264" s="297"/>
      <c r="MTO264" s="297"/>
      <c r="MTP264" s="297"/>
      <c r="MTQ264" s="297"/>
      <c r="MTR264" s="297"/>
      <c r="MTS264" s="297"/>
      <c r="MTT264" s="297"/>
      <c r="MTU264" s="297"/>
      <c r="MTV264" s="297"/>
      <c r="MTW264" s="297"/>
      <c r="MTX264" s="297"/>
      <c r="MTY264" s="297"/>
      <c r="MTZ264" s="297"/>
      <c r="MUA264" s="297"/>
      <c r="MUB264" s="297"/>
      <c r="MUC264" s="297"/>
      <c r="MUD264" s="297"/>
      <c r="MUE264" s="297"/>
      <c r="MUF264" s="297"/>
      <c r="MUG264" s="297"/>
      <c r="MUH264" s="297"/>
      <c r="MUI264" s="297"/>
      <c r="MUJ264" s="297"/>
      <c r="MUK264" s="297"/>
      <c r="MUL264" s="297"/>
      <c r="MUM264" s="297"/>
      <c r="MUN264" s="297"/>
      <c r="MUO264" s="297"/>
      <c r="MUP264" s="297"/>
      <c r="MUQ264" s="297"/>
      <c r="MUR264" s="297"/>
      <c r="MUS264" s="297"/>
      <c r="MUT264" s="297"/>
      <c r="MUU264" s="297"/>
      <c r="MUV264" s="297"/>
      <c r="MUW264" s="297"/>
      <c r="MUX264" s="297"/>
      <c r="MUY264" s="297"/>
      <c r="MUZ264" s="297"/>
      <c r="MVA264" s="297"/>
      <c r="MVB264" s="297"/>
      <c r="MVC264" s="297"/>
      <c r="MVD264" s="297"/>
      <c r="MVE264" s="297"/>
      <c r="MVF264" s="297"/>
      <c r="MVG264" s="297"/>
      <c r="MVH264" s="297"/>
      <c r="MVI264" s="297"/>
      <c r="MVJ264" s="297"/>
      <c r="MVK264" s="297"/>
      <c r="MVL264" s="297"/>
      <c r="MVM264" s="297"/>
      <c r="MVN264" s="297"/>
      <c r="MVO264" s="297"/>
      <c r="MVP264" s="297"/>
      <c r="MVQ264" s="297"/>
      <c r="MVR264" s="297"/>
      <c r="MVS264" s="297"/>
      <c r="MVT264" s="297"/>
      <c r="MVU264" s="297"/>
      <c r="MVV264" s="297"/>
      <c r="MVW264" s="297"/>
      <c r="MVX264" s="297"/>
      <c r="MVY264" s="297"/>
      <c r="MVZ264" s="297"/>
      <c r="MWA264" s="297"/>
      <c r="MWB264" s="297"/>
      <c r="MWC264" s="297"/>
      <c r="MWD264" s="297"/>
      <c r="MWE264" s="297"/>
      <c r="MWF264" s="297"/>
      <c r="MWG264" s="297"/>
      <c r="MWH264" s="297"/>
      <c r="MWI264" s="297"/>
      <c r="MWJ264" s="297"/>
      <c r="MWK264" s="297"/>
      <c r="MWL264" s="297"/>
      <c r="MWM264" s="297"/>
      <c r="MWN264" s="297"/>
      <c r="MWO264" s="297"/>
      <c r="MWP264" s="297"/>
      <c r="MWQ264" s="297"/>
      <c r="MWR264" s="297"/>
      <c r="MWS264" s="297"/>
      <c r="MWT264" s="297"/>
      <c r="MWU264" s="297"/>
      <c r="MWV264" s="297"/>
      <c r="MWW264" s="297"/>
      <c r="MWX264" s="297"/>
      <c r="MWY264" s="297"/>
      <c r="MWZ264" s="297"/>
      <c r="MXA264" s="297"/>
      <c r="MXB264" s="297"/>
      <c r="MXC264" s="297"/>
      <c r="MXD264" s="297"/>
      <c r="MXE264" s="297"/>
      <c r="MXF264" s="297"/>
      <c r="MXG264" s="297"/>
      <c r="MXH264" s="297"/>
      <c r="MXI264" s="297"/>
      <c r="MXJ264" s="297"/>
      <c r="MXK264" s="297"/>
      <c r="MXL264" s="297"/>
      <c r="MXM264" s="297"/>
      <c r="MXN264" s="297"/>
      <c r="MXO264" s="297"/>
      <c r="MXP264" s="297"/>
      <c r="MXQ264" s="297"/>
      <c r="MXR264" s="297"/>
      <c r="MXS264" s="297"/>
      <c r="MXT264" s="297"/>
      <c r="MXU264" s="297"/>
      <c r="MXV264" s="297"/>
      <c r="MXW264" s="297"/>
      <c r="MXX264" s="297"/>
      <c r="MXY264" s="297"/>
      <c r="MXZ264" s="297"/>
      <c r="MYA264" s="297"/>
      <c r="MYB264" s="297"/>
      <c r="MYC264" s="297"/>
      <c r="MYD264" s="297"/>
      <c r="MYE264" s="297"/>
      <c r="MYF264" s="297"/>
      <c r="MYG264" s="297"/>
      <c r="MYH264" s="297"/>
      <c r="MYI264" s="297"/>
      <c r="MYJ264" s="297"/>
      <c r="MYK264" s="297"/>
      <c r="MYL264" s="297"/>
      <c r="MYM264" s="297"/>
      <c r="MYN264" s="297"/>
      <c r="MYO264" s="297"/>
      <c r="MYP264" s="297"/>
      <c r="MYQ264" s="297"/>
      <c r="MYR264" s="297"/>
      <c r="MYS264" s="297"/>
      <c r="MYT264" s="297"/>
      <c r="MYU264" s="297"/>
      <c r="MYV264" s="297"/>
      <c r="MYW264" s="297"/>
      <c r="MYX264" s="297"/>
      <c r="MYY264" s="297"/>
      <c r="MYZ264" s="297"/>
      <c r="MZA264" s="297"/>
      <c r="MZB264" s="297"/>
      <c r="MZC264" s="297"/>
      <c r="MZD264" s="297"/>
      <c r="MZE264" s="297"/>
      <c r="MZF264" s="297"/>
      <c r="MZG264" s="297"/>
      <c r="MZH264" s="297"/>
      <c r="MZI264" s="297"/>
      <c r="MZJ264" s="297"/>
      <c r="MZK264" s="297"/>
      <c r="MZL264" s="297"/>
      <c r="MZM264" s="297"/>
      <c r="MZN264" s="297"/>
      <c r="MZO264" s="297"/>
      <c r="MZP264" s="297"/>
      <c r="MZQ264" s="297"/>
      <c r="MZR264" s="297"/>
      <c r="MZS264" s="297"/>
      <c r="MZT264" s="297"/>
      <c r="MZU264" s="297"/>
      <c r="MZV264" s="297"/>
      <c r="MZW264" s="297"/>
      <c r="MZX264" s="297"/>
      <c r="MZY264" s="297"/>
      <c r="MZZ264" s="297"/>
      <c r="NAA264" s="297"/>
      <c r="NAB264" s="297"/>
      <c r="NAC264" s="297"/>
      <c r="NAD264" s="297"/>
      <c r="NAE264" s="297"/>
      <c r="NAF264" s="297"/>
      <c r="NAG264" s="297"/>
      <c r="NAH264" s="297"/>
      <c r="NAI264" s="297"/>
      <c r="NAJ264" s="297"/>
      <c r="NAK264" s="297"/>
      <c r="NAL264" s="297"/>
      <c r="NAM264" s="297"/>
      <c r="NAN264" s="297"/>
      <c r="NAO264" s="297"/>
      <c r="NAP264" s="297"/>
      <c r="NAQ264" s="297"/>
      <c r="NAR264" s="297"/>
      <c r="NAS264" s="297"/>
      <c r="NAT264" s="297"/>
      <c r="NAU264" s="297"/>
      <c r="NAV264" s="297"/>
      <c r="NAW264" s="297"/>
      <c r="NAX264" s="297"/>
      <c r="NAY264" s="297"/>
      <c r="NAZ264" s="297"/>
      <c r="NBA264" s="297"/>
      <c r="NBB264" s="297"/>
      <c r="NBC264" s="297"/>
      <c r="NBD264" s="297"/>
      <c r="NBE264" s="297"/>
      <c r="NBF264" s="297"/>
      <c r="NBG264" s="297"/>
      <c r="NBH264" s="297"/>
      <c r="NBI264" s="297"/>
      <c r="NBJ264" s="297"/>
      <c r="NBK264" s="297"/>
      <c r="NBL264" s="297"/>
      <c r="NBM264" s="297"/>
      <c r="NBN264" s="297"/>
      <c r="NBO264" s="297"/>
      <c r="NBP264" s="297"/>
      <c r="NBQ264" s="297"/>
      <c r="NBR264" s="297"/>
      <c r="NBS264" s="297"/>
      <c r="NBT264" s="297"/>
      <c r="NBU264" s="297"/>
      <c r="NBV264" s="297"/>
      <c r="NBW264" s="297"/>
      <c r="NBX264" s="297"/>
      <c r="NBY264" s="297"/>
      <c r="NBZ264" s="297"/>
      <c r="NCA264" s="297"/>
      <c r="NCB264" s="297"/>
      <c r="NCC264" s="297"/>
      <c r="NCD264" s="297"/>
      <c r="NCE264" s="297"/>
      <c r="NCF264" s="297"/>
      <c r="NCG264" s="297"/>
      <c r="NCH264" s="297"/>
      <c r="NCI264" s="297"/>
      <c r="NCJ264" s="297"/>
      <c r="NCK264" s="297"/>
      <c r="NCL264" s="297"/>
      <c r="NCM264" s="297"/>
      <c r="NCN264" s="297"/>
      <c r="NCO264" s="297"/>
      <c r="NCP264" s="297"/>
      <c r="NCQ264" s="297"/>
      <c r="NCR264" s="297"/>
      <c r="NCS264" s="297"/>
      <c r="NCT264" s="297"/>
      <c r="NCU264" s="297"/>
      <c r="NCV264" s="297"/>
      <c r="NCW264" s="297"/>
      <c r="NCX264" s="297"/>
      <c r="NCY264" s="297"/>
      <c r="NCZ264" s="297"/>
      <c r="NDA264" s="297"/>
      <c r="NDB264" s="297"/>
      <c r="NDC264" s="297"/>
      <c r="NDD264" s="297"/>
      <c r="NDE264" s="297"/>
      <c r="NDF264" s="297"/>
      <c r="NDG264" s="297"/>
      <c r="NDH264" s="297"/>
      <c r="NDI264" s="297"/>
      <c r="NDJ264" s="297"/>
      <c r="NDK264" s="297"/>
      <c r="NDL264" s="297"/>
      <c r="NDM264" s="297"/>
      <c r="NDN264" s="297"/>
      <c r="NDO264" s="297"/>
      <c r="NDP264" s="297"/>
      <c r="NDQ264" s="297"/>
      <c r="NDR264" s="297"/>
      <c r="NDS264" s="297"/>
      <c r="NDT264" s="297"/>
      <c r="NDU264" s="297"/>
      <c r="NDV264" s="297"/>
      <c r="NDW264" s="297"/>
      <c r="NDX264" s="297"/>
      <c r="NDY264" s="297"/>
      <c r="NDZ264" s="297"/>
      <c r="NEA264" s="297"/>
      <c r="NEB264" s="297"/>
      <c r="NEC264" s="297"/>
      <c r="NED264" s="297"/>
      <c r="NEE264" s="297"/>
      <c r="NEF264" s="297"/>
      <c r="NEG264" s="297"/>
      <c r="NEH264" s="297"/>
      <c r="NEI264" s="297"/>
      <c r="NEJ264" s="297"/>
      <c r="NEK264" s="297"/>
      <c r="NEL264" s="297"/>
      <c r="NEM264" s="297"/>
      <c r="NEN264" s="297"/>
      <c r="NEO264" s="297"/>
      <c r="NEP264" s="297"/>
      <c r="NEQ264" s="297"/>
      <c r="NER264" s="297"/>
      <c r="NES264" s="297"/>
      <c r="NET264" s="297"/>
      <c r="NEU264" s="297"/>
      <c r="NEV264" s="297"/>
      <c r="NEW264" s="297"/>
      <c r="NEX264" s="297"/>
      <c r="NEY264" s="297"/>
      <c r="NEZ264" s="297"/>
      <c r="NFA264" s="297"/>
      <c r="NFB264" s="297"/>
      <c r="NFC264" s="297"/>
      <c r="NFD264" s="297"/>
      <c r="NFE264" s="297"/>
      <c r="NFF264" s="297"/>
      <c r="NFG264" s="297"/>
      <c r="NFH264" s="297"/>
      <c r="NFI264" s="297"/>
      <c r="NFJ264" s="297"/>
      <c r="NFK264" s="297"/>
      <c r="NFL264" s="297"/>
      <c r="NFM264" s="297"/>
      <c r="NFN264" s="297"/>
      <c r="NFO264" s="297"/>
      <c r="NFP264" s="297"/>
      <c r="NFQ264" s="297"/>
      <c r="NFR264" s="297"/>
      <c r="NFS264" s="297"/>
      <c r="NFT264" s="297"/>
      <c r="NFU264" s="297"/>
      <c r="NFV264" s="297"/>
      <c r="NFW264" s="297"/>
      <c r="NFX264" s="297"/>
      <c r="NFY264" s="297"/>
      <c r="NFZ264" s="297"/>
      <c r="NGA264" s="297"/>
      <c r="NGB264" s="297"/>
      <c r="NGC264" s="297"/>
      <c r="NGD264" s="297"/>
      <c r="NGE264" s="297"/>
      <c r="NGF264" s="297"/>
      <c r="NGG264" s="297"/>
      <c r="NGH264" s="297"/>
      <c r="NGI264" s="297"/>
      <c r="NGJ264" s="297"/>
      <c r="NGK264" s="297"/>
      <c r="NGL264" s="297"/>
      <c r="NGM264" s="297"/>
      <c r="NGN264" s="297"/>
      <c r="NGO264" s="297"/>
      <c r="NGP264" s="297"/>
      <c r="NGQ264" s="297"/>
      <c r="NGR264" s="297"/>
      <c r="NGS264" s="297"/>
      <c r="NGT264" s="297"/>
      <c r="NGU264" s="297"/>
      <c r="NGV264" s="297"/>
      <c r="NGW264" s="297"/>
      <c r="NGX264" s="297"/>
      <c r="NGY264" s="297"/>
      <c r="NGZ264" s="297"/>
      <c r="NHA264" s="297"/>
      <c r="NHB264" s="297"/>
      <c r="NHC264" s="297"/>
      <c r="NHD264" s="297"/>
      <c r="NHE264" s="297"/>
      <c r="NHF264" s="297"/>
      <c r="NHG264" s="297"/>
      <c r="NHH264" s="297"/>
      <c r="NHI264" s="297"/>
      <c r="NHJ264" s="297"/>
      <c r="NHK264" s="297"/>
      <c r="NHL264" s="297"/>
      <c r="NHM264" s="297"/>
      <c r="NHN264" s="297"/>
      <c r="NHO264" s="297"/>
      <c r="NHP264" s="297"/>
      <c r="NHQ264" s="297"/>
      <c r="NHR264" s="297"/>
      <c r="NHS264" s="297"/>
      <c r="NHT264" s="297"/>
      <c r="NHU264" s="297"/>
      <c r="NHV264" s="297"/>
      <c r="NHW264" s="297"/>
      <c r="NHX264" s="297"/>
      <c r="NHY264" s="297"/>
      <c r="NHZ264" s="297"/>
      <c r="NIA264" s="297"/>
      <c r="NIB264" s="297"/>
      <c r="NIC264" s="297"/>
      <c r="NID264" s="297"/>
      <c r="NIE264" s="297"/>
      <c r="NIF264" s="297"/>
      <c r="NIG264" s="297"/>
      <c r="NIH264" s="297"/>
      <c r="NII264" s="297"/>
      <c r="NIJ264" s="297"/>
      <c r="NIK264" s="297"/>
      <c r="NIL264" s="297"/>
      <c r="NIM264" s="297"/>
      <c r="NIN264" s="297"/>
      <c r="NIO264" s="297"/>
      <c r="NIP264" s="297"/>
      <c r="NIQ264" s="297"/>
      <c r="NIR264" s="297"/>
      <c r="NIS264" s="297"/>
      <c r="NIT264" s="297"/>
      <c r="NIU264" s="297"/>
      <c r="NIV264" s="297"/>
      <c r="NIW264" s="297"/>
      <c r="NIX264" s="297"/>
      <c r="NIY264" s="297"/>
      <c r="NIZ264" s="297"/>
      <c r="NJA264" s="297"/>
      <c r="NJB264" s="297"/>
      <c r="NJC264" s="297"/>
      <c r="NJD264" s="297"/>
      <c r="NJE264" s="297"/>
      <c r="NJF264" s="297"/>
      <c r="NJG264" s="297"/>
      <c r="NJH264" s="297"/>
      <c r="NJI264" s="297"/>
      <c r="NJJ264" s="297"/>
      <c r="NJK264" s="297"/>
      <c r="NJL264" s="297"/>
      <c r="NJM264" s="297"/>
      <c r="NJN264" s="297"/>
      <c r="NJO264" s="297"/>
      <c r="NJP264" s="297"/>
      <c r="NJQ264" s="297"/>
      <c r="NJR264" s="297"/>
      <c r="NJS264" s="297"/>
      <c r="NJT264" s="297"/>
      <c r="NJU264" s="297"/>
      <c r="NJV264" s="297"/>
      <c r="NJW264" s="297"/>
      <c r="NJX264" s="297"/>
      <c r="NJY264" s="297"/>
      <c r="NJZ264" s="297"/>
      <c r="NKA264" s="297"/>
      <c r="NKB264" s="297"/>
      <c r="NKC264" s="297"/>
      <c r="NKD264" s="297"/>
      <c r="NKE264" s="297"/>
      <c r="NKF264" s="297"/>
      <c r="NKG264" s="297"/>
      <c r="NKH264" s="297"/>
      <c r="NKI264" s="297"/>
      <c r="NKJ264" s="297"/>
      <c r="NKK264" s="297"/>
      <c r="NKL264" s="297"/>
      <c r="NKM264" s="297"/>
      <c r="NKN264" s="297"/>
      <c r="NKO264" s="297"/>
      <c r="NKP264" s="297"/>
      <c r="NKQ264" s="297"/>
      <c r="NKR264" s="297"/>
      <c r="NKS264" s="297"/>
      <c r="NKT264" s="297"/>
      <c r="NKU264" s="297"/>
      <c r="NKV264" s="297"/>
      <c r="NKW264" s="297"/>
      <c r="NKX264" s="297"/>
      <c r="NKY264" s="297"/>
      <c r="NKZ264" s="297"/>
      <c r="NLA264" s="297"/>
      <c r="NLB264" s="297"/>
      <c r="NLC264" s="297"/>
      <c r="NLD264" s="297"/>
      <c r="NLE264" s="297"/>
      <c r="NLF264" s="297"/>
      <c r="NLG264" s="297"/>
      <c r="NLH264" s="297"/>
      <c r="NLI264" s="297"/>
      <c r="NLJ264" s="297"/>
      <c r="NLK264" s="297"/>
      <c r="NLL264" s="297"/>
      <c r="NLM264" s="297"/>
      <c r="NLN264" s="297"/>
      <c r="NLO264" s="297"/>
      <c r="NLP264" s="297"/>
      <c r="NLQ264" s="297"/>
      <c r="NLR264" s="297"/>
      <c r="NLS264" s="297"/>
      <c r="NLT264" s="297"/>
      <c r="NLU264" s="297"/>
      <c r="NLV264" s="297"/>
      <c r="NLW264" s="297"/>
      <c r="NLX264" s="297"/>
      <c r="NLY264" s="297"/>
      <c r="NLZ264" s="297"/>
      <c r="NMA264" s="297"/>
      <c r="NMB264" s="297"/>
      <c r="NMC264" s="297"/>
      <c r="NMD264" s="297"/>
      <c r="NME264" s="297"/>
      <c r="NMF264" s="297"/>
      <c r="NMG264" s="297"/>
      <c r="NMH264" s="297"/>
      <c r="NMI264" s="297"/>
      <c r="NMJ264" s="297"/>
      <c r="NMK264" s="297"/>
      <c r="NML264" s="297"/>
      <c r="NMM264" s="297"/>
      <c r="NMN264" s="297"/>
      <c r="NMO264" s="297"/>
      <c r="NMP264" s="297"/>
      <c r="NMQ264" s="297"/>
      <c r="NMR264" s="297"/>
      <c r="NMS264" s="297"/>
      <c r="NMT264" s="297"/>
      <c r="NMU264" s="297"/>
      <c r="NMV264" s="297"/>
      <c r="NMW264" s="297"/>
      <c r="NMX264" s="297"/>
      <c r="NMY264" s="297"/>
      <c r="NMZ264" s="297"/>
      <c r="NNA264" s="297"/>
      <c r="NNB264" s="297"/>
      <c r="NNC264" s="297"/>
      <c r="NND264" s="297"/>
      <c r="NNE264" s="297"/>
      <c r="NNF264" s="297"/>
      <c r="NNG264" s="297"/>
      <c r="NNH264" s="297"/>
      <c r="NNI264" s="297"/>
      <c r="NNJ264" s="297"/>
      <c r="NNK264" s="297"/>
      <c r="NNL264" s="297"/>
      <c r="NNM264" s="297"/>
      <c r="NNN264" s="297"/>
      <c r="NNO264" s="297"/>
      <c r="NNP264" s="297"/>
      <c r="NNQ264" s="297"/>
      <c r="NNR264" s="297"/>
      <c r="NNS264" s="297"/>
      <c r="NNT264" s="297"/>
      <c r="NNU264" s="297"/>
      <c r="NNV264" s="297"/>
      <c r="NNW264" s="297"/>
      <c r="NNX264" s="297"/>
      <c r="NNY264" s="297"/>
      <c r="NNZ264" s="297"/>
      <c r="NOA264" s="297"/>
      <c r="NOB264" s="297"/>
      <c r="NOC264" s="297"/>
      <c r="NOD264" s="297"/>
      <c r="NOE264" s="297"/>
      <c r="NOF264" s="297"/>
      <c r="NOG264" s="297"/>
      <c r="NOH264" s="297"/>
      <c r="NOI264" s="297"/>
      <c r="NOJ264" s="297"/>
      <c r="NOK264" s="297"/>
      <c r="NOL264" s="297"/>
      <c r="NOM264" s="297"/>
      <c r="NON264" s="297"/>
      <c r="NOO264" s="297"/>
      <c r="NOP264" s="297"/>
      <c r="NOQ264" s="297"/>
      <c r="NOR264" s="297"/>
      <c r="NOS264" s="297"/>
      <c r="NOT264" s="297"/>
      <c r="NOU264" s="297"/>
      <c r="NOV264" s="297"/>
      <c r="NOW264" s="297"/>
      <c r="NOX264" s="297"/>
      <c r="NOY264" s="297"/>
      <c r="NOZ264" s="297"/>
      <c r="NPA264" s="297"/>
      <c r="NPB264" s="297"/>
      <c r="NPC264" s="297"/>
      <c r="NPD264" s="297"/>
      <c r="NPE264" s="297"/>
      <c r="NPF264" s="297"/>
      <c r="NPG264" s="297"/>
      <c r="NPH264" s="297"/>
      <c r="NPI264" s="297"/>
      <c r="NPJ264" s="297"/>
      <c r="NPK264" s="297"/>
      <c r="NPL264" s="297"/>
      <c r="NPM264" s="297"/>
      <c r="NPN264" s="297"/>
      <c r="NPO264" s="297"/>
      <c r="NPP264" s="297"/>
      <c r="NPQ264" s="297"/>
      <c r="NPR264" s="297"/>
      <c r="NPS264" s="297"/>
      <c r="NPT264" s="297"/>
      <c r="NPU264" s="297"/>
      <c r="NPV264" s="297"/>
      <c r="NPW264" s="297"/>
      <c r="NPX264" s="297"/>
      <c r="NPY264" s="297"/>
      <c r="NPZ264" s="297"/>
      <c r="NQA264" s="297"/>
      <c r="NQB264" s="297"/>
      <c r="NQC264" s="297"/>
      <c r="NQD264" s="297"/>
      <c r="NQE264" s="297"/>
      <c r="NQF264" s="297"/>
      <c r="NQG264" s="297"/>
      <c r="NQH264" s="297"/>
      <c r="NQI264" s="297"/>
      <c r="NQJ264" s="297"/>
      <c r="NQK264" s="297"/>
      <c r="NQL264" s="297"/>
      <c r="NQM264" s="297"/>
      <c r="NQN264" s="297"/>
      <c r="NQO264" s="297"/>
      <c r="NQP264" s="297"/>
      <c r="NQQ264" s="297"/>
      <c r="NQR264" s="297"/>
      <c r="NQS264" s="297"/>
      <c r="NQT264" s="297"/>
      <c r="NQU264" s="297"/>
      <c r="NQV264" s="297"/>
      <c r="NQW264" s="297"/>
      <c r="NQX264" s="297"/>
      <c r="NQY264" s="297"/>
      <c r="NQZ264" s="297"/>
      <c r="NRA264" s="297"/>
      <c r="NRB264" s="297"/>
      <c r="NRC264" s="297"/>
      <c r="NRD264" s="297"/>
      <c r="NRE264" s="297"/>
      <c r="NRF264" s="297"/>
      <c r="NRG264" s="297"/>
      <c r="NRH264" s="297"/>
      <c r="NRI264" s="297"/>
      <c r="NRJ264" s="297"/>
      <c r="NRK264" s="297"/>
      <c r="NRL264" s="297"/>
      <c r="NRM264" s="297"/>
      <c r="NRN264" s="297"/>
      <c r="NRO264" s="297"/>
      <c r="NRP264" s="297"/>
      <c r="NRQ264" s="297"/>
      <c r="NRR264" s="297"/>
      <c r="NRS264" s="297"/>
      <c r="NRT264" s="297"/>
      <c r="NRU264" s="297"/>
      <c r="NRV264" s="297"/>
      <c r="NRW264" s="297"/>
      <c r="NRX264" s="297"/>
      <c r="NRY264" s="297"/>
      <c r="NRZ264" s="297"/>
      <c r="NSA264" s="297"/>
      <c r="NSB264" s="297"/>
      <c r="NSC264" s="297"/>
      <c r="NSD264" s="297"/>
      <c r="NSE264" s="297"/>
      <c r="NSF264" s="297"/>
      <c r="NSG264" s="297"/>
      <c r="NSH264" s="297"/>
      <c r="NSI264" s="297"/>
      <c r="NSJ264" s="297"/>
      <c r="NSK264" s="297"/>
      <c r="NSL264" s="297"/>
      <c r="NSM264" s="297"/>
      <c r="NSN264" s="297"/>
      <c r="NSO264" s="297"/>
      <c r="NSP264" s="297"/>
      <c r="NSQ264" s="297"/>
      <c r="NSR264" s="297"/>
      <c r="NSS264" s="297"/>
      <c r="NST264" s="297"/>
      <c r="NSU264" s="297"/>
      <c r="NSV264" s="297"/>
      <c r="NSW264" s="297"/>
      <c r="NSX264" s="297"/>
      <c r="NSY264" s="297"/>
      <c r="NSZ264" s="297"/>
      <c r="NTA264" s="297"/>
      <c r="NTB264" s="297"/>
      <c r="NTC264" s="297"/>
      <c r="NTD264" s="297"/>
      <c r="NTE264" s="297"/>
      <c r="NTF264" s="297"/>
      <c r="NTG264" s="297"/>
      <c r="NTH264" s="297"/>
      <c r="NTI264" s="297"/>
      <c r="NTJ264" s="297"/>
      <c r="NTK264" s="297"/>
      <c r="NTL264" s="297"/>
      <c r="NTM264" s="297"/>
      <c r="NTN264" s="297"/>
      <c r="NTO264" s="297"/>
      <c r="NTP264" s="297"/>
      <c r="NTQ264" s="297"/>
      <c r="NTR264" s="297"/>
      <c r="NTS264" s="297"/>
      <c r="NTT264" s="297"/>
      <c r="NTU264" s="297"/>
      <c r="NTV264" s="297"/>
      <c r="NTW264" s="297"/>
      <c r="NTX264" s="297"/>
      <c r="NTY264" s="297"/>
      <c r="NTZ264" s="297"/>
      <c r="NUA264" s="297"/>
      <c r="NUB264" s="297"/>
      <c r="NUC264" s="297"/>
      <c r="NUD264" s="297"/>
      <c r="NUE264" s="297"/>
      <c r="NUF264" s="297"/>
      <c r="NUG264" s="297"/>
      <c r="NUH264" s="297"/>
      <c r="NUI264" s="297"/>
      <c r="NUJ264" s="297"/>
      <c r="NUK264" s="297"/>
      <c r="NUL264" s="297"/>
      <c r="NUM264" s="297"/>
      <c r="NUN264" s="297"/>
      <c r="NUO264" s="297"/>
      <c r="NUP264" s="297"/>
      <c r="NUQ264" s="297"/>
      <c r="NUR264" s="297"/>
      <c r="NUS264" s="297"/>
      <c r="NUT264" s="297"/>
      <c r="NUU264" s="297"/>
      <c r="NUV264" s="297"/>
      <c r="NUW264" s="297"/>
      <c r="NUX264" s="297"/>
      <c r="NUY264" s="297"/>
      <c r="NUZ264" s="297"/>
      <c r="NVA264" s="297"/>
      <c r="NVB264" s="297"/>
      <c r="NVC264" s="297"/>
      <c r="NVD264" s="297"/>
      <c r="NVE264" s="297"/>
      <c r="NVF264" s="297"/>
      <c r="NVG264" s="297"/>
      <c r="NVH264" s="297"/>
      <c r="NVI264" s="297"/>
      <c r="NVJ264" s="297"/>
      <c r="NVK264" s="297"/>
      <c r="NVL264" s="297"/>
      <c r="NVM264" s="297"/>
      <c r="NVN264" s="297"/>
      <c r="NVO264" s="297"/>
      <c r="NVP264" s="297"/>
      <c r="NVQ264" s="297"/>
      <c r="NVR264" s="297"/>
      <c r="NVS264" s="297"/>
      <c r="NVT264" s="297"/>
      <c r="NVU264" s="297"/>
      <c r="NVV264" s="297"/>
      <c r="NVW264" s="297"/>
      <c r="NVX264" s="297"/>
      <c r="NVY264" s="297"/>
      <c r="NVZ264" s="297"/>
      <c r="NWA264" s="297"/>
      <c r="NWB264" s="297"/>
      <c r="NWC264" s="297"/>
      <c r="NWD264" s="297"/>
      <c r="NWE264" s="297"/>
      <c r="NWF264" s="297"/>
      <c r="NWG264" s="297"/>
      <c r="NWH264" s="297"/>
      <c r="NWI264" s="297"/>
      <c r="NWJ264" s="297"/>
      <c r="NWK264" s="297"/>
      <c r="NWL264" s="297"/>
      <c r="NWM264" s="297"/>
      <c r="NWN264" s="297"/>
      <c r="NWO264" s="297"/>
      <c r="NWP264" s="297"/>
      <c r="NWQ264" s="297"/>
      <c r="NWR264" s="297"/>
      <c r="NWS264" s="297"/>
      <c r="NWT264" s="297"/>
      <c r="NWU264" s="297"/>
      <c r="NWV264" s="297"/>
      <c r="NWW264" s="297"/>
      <c r="NWX264" s="297"/>
      <c r="NWY264" s="297"/>
      <c r="NWZ264" s="297"/>
      <c r="NXA264" s="297"/>
      <c r="NXB264" s="297"/>
      <c r="NXC264" s="297"/>
      <c r="NXD264" s="297"/>
      <c r="NXE264" s="297"/>
      <c r="NXF264" s="297"/>
      <c r="NXG264" s="297"/>
      <c r="NXH264" s="297"/>
      <c r="NXI264" s="297"/>
      <c r="NXJ264" s="297"/>
      <c r="NXK264" s="297"/>
      <c r="NXL264" s="297"/>
      <c r="NXM264" s="297"/>
      <c r="NXN264" s="297"/>
      <c r="NXO264" s="297"/>
      <c r="NXP264" s="297"/>
      <c r="NXQ264" s="297"/>
      <c r="NXR264" s="297"/>
      <c r="NXS264" s="297"/>
      <c r="NXT264" s="297"/>
      <c r="NXU264" s="297"/>
      <c r="NXV264" s="297"/>
      <c r="NXW264" s="297"/>
      <c r="NXX264" s="297"/>
      <c r="NXY264" s="297"/>
      <c r="NXZ264" s="297"/>
      <c r="NYA264" s="297"/>
      <c r="NYB264" s="297"/>
      <c r="NYC264" s="297"/>
      <c r="NYD264" s="297"/>
      <c r="NYE264" s="297"/>
      <c r="NYF264" s="297"/>
      <c r="NYG264" s="297"/>
      <c r="NYH264" s="297"/>
      <c r="NYI264" s="297"/>
      <c r="NYJ264" s="297"/>
      <c r="NYK264" s="297"/>
      <c r="NYL264" s="297"/>
      <c r="NYM264" s="297"/>
      <c r="NYN264" s="297"/>
      <c r="NYO264" s="297"/>
      <c r="NYP264" s="297"/>
      <c r="NYQ264" s="297"/>
      <c r="NYR264" s="297"/>
      <c r="NYS264" s="297"/>
      <c r="NYT264" s="297"/>
      <c r="NYU264" s="297"/>
      <c r="NYV264" s="297"/>
      <c r="NYW264" s="297"/>
      <c r="NYX264" s="297"/>
      <c r="NYY264" s="297"/>
      <c r="NYZ264" s="297"/>
      <c r="NZA264" s="297"/>
      <c r="NZB264" s="297"/>
      <c r="NZC264" s="297"/>
      <c r="NZD264" s="297"/>
      <c r="NZE264" s="297"/>
      <c r="NZF264" s="297"/>
      <c r="NZG264" s="297"/>
      <c r="NZH264" s="297"/>
      <c r="NZI264" s="297"/>
      <c r="NZJ264" s="297"/>
      <c r="NZK264" s="297"/>
      <c r="NZL264" s="297"/>
      <c r="NZM264" s="297"/>
      <c r="NZN264" s="297"/>
      <c r="NZO264" s="297"/>
      <c r="NZP264" s="297"/>
      <c r="NZQ264" s="297"/>
      <c r="NZR264" s="297"/>
      <c r="NZS264" s="297"/>
      <c r="NZT264" s="297"/>
      <c r="NZU264" s="297"/>
      <c r="NZV264" s="297"/>
      <c r="NZW264" s="297"/>
      <c r="NZX264" s="297"/>
      <c r="NZY264" s="297"/>
      <c r="NZZ264" s="297"/>
      <c r="OAA264" s="297"/>
      <c r="OAB264" s="297"/>
      <c r="OAC264" s="297"/>
      <c r="OAD264" s="297"/>
      <c r="OAE264" s="297"/>
      <c r="OAF264" s="297"/>
      <c r="OAG264" s="297"/>
      <c r="OAH264" s="297"/>
      <c r="OAI264" s="297"/>
      <c r="OAJ264" s="297"/>
      <c r="OAK264" s="297"/>
      <c r="OAL264" s="297"/>
      <c r="OAM264" s="297"/>
      <c r="OAN264" s="297"/>
      <c r="OAO264" s="297"/>
      <c r="OAP264" s="297"/>
      <c r="OAQ264" s="297"/>
      <c r="OAR264" s="297"/>
      <c r="OAS264" s="297"/>
      <c r="OAT264" s="297"/>
      <c r="OAU264" s="297"/>
      <c r="OAV264" s="297"/>
      <c r="OAW264" s="297"/>
      <c r="OAX264" s="297"/>
      <c r="OAY264" s="297"/>
      <c r="OAZ264" s="297"/>
      <c r="OBA264" s="297"/>
      <c r="OBB264" s="297"/>
      <c r="OBC264" s="297"/>
      <c r="OBD264" s="297"/>
      <c r="OBE264" s="297"/>
      <c r="OBF264" s="297"/>
      <c r="OBG264" s="297"/>
      <c r="OBH264" s="297"/>
      <c r="OBI264" s="297"/>
      <c r="OBJ264" s="297"/>
      <c r="OBK264" s="297"/>
      <c r="OBL264" s="297"/>
      <c r="OBM264" s="297"/>
      <c r="OBN264" s="297"/>
      <c r="OBO264" s="297"/>
      <c r="OBP264" s="297"/>
      <c r="OBQ264" s="297"/>
      <c r="OBR264" s="297"/>
      <c r="OBS264" s="297"/>
      <c r="OBT264" s="297"/>
      <c r="OBU264" s="297"/>
      <c r="OBV264" s="297"/>
      <c r="OBW264" s="297"/>
      <c r="OBX264" s="297"/>
      <c r="OBY264" s="297"/>
      <c r="OBZ264" s="297"/>
      <c r="OCA264" s="297"/>
      <c r="OCB264" s="297"/>
      <c r="OCC264" s="297"/>
      <c r="OCD264" s="297"/>
      <c r="OCE264" s="297"/>
      <c r="OCF264" s="297"/>
      <c r="OCG264" s="297"/>
      <c r="OCH264" s="297"/>
      <c r="OCI264" s="297"/>
      <c r="OCJ264" s="297"/>
      <c r="OCK264" s="297"/>
      <c r="OCL264" s="297"/>
      <c r="OCM264" s="297"/>
      <c r="OCN264" s="297"/>
      <c r="OCO264" s="297"/>
      <c r="OCP264" s="297"/>
      <c r="OCQ264" s="297"/>
      <c r="OCR264" s="297"/>
      <c r="OCS264" s="297"/>
      <c r="OCT264" s="297"/>
      <c r="OCU264" s="297"/>
      <c r="OCV264" s="297"/>
      <c r="OCW264" s="297"/>
      <c r="OCX264" s="297"/>
      <c r="OCY264" s="297"/>
      <c r="OCZ264" s="297"/>
      <c r="ODA264" s="297"/>
      <c r="ODB264" s="297"/>
      <c r="ODC264" s="297"/>
      <c r="ODD264" s="297"/>
      <c r="ODE264" s="297"/>
      <c r="ODF264" s="297"/>
      <c r="ODG264" s="297"/>
      <c r="ODH264" s="297"/>
      <c r="ODI264" s="297"/>
      <c r="ODJ264" s="297"/>
      <c r="ODK264" s="297"/>
      <c r="ODL264" s="297"/>
      <c r="ODM264" s="297"/>
      <c r="ODN264" s="297"/>
      <c r="ODO264" s="297"/>
      <c r="ODP264" s="297"/>
      <c r="ODQ264" s="297"/>
      <c r="ODR264" s="297"/>
      <c r="ODS264" s="297"/>
      <c r="ODT264" s="297"/>
      <c r="ODU264" s="297"/>
      <c r="ODV264" s="297"/>
      <c r="ODW264" s="297"/>
      <c r="ODX264" s="297"/>
      <c r="ODY264" s="297"/>
      <c r="ODZ264" s="297"/>
      <c r="OEA264" s="297"/>
      <c r="OEB264" s="297"/>
      <c r="OEC264" s="297"/>
      <c r="OED264" s="297"/>
      <c r="OEE264" s="297"/>
      <c r="OEF264" s="297"/>
      <c r="OEG264" s="297"/>
      <c r="OEH264" s="297"/>
      <c r="OEI264" s="297"/>
      <c r="OEJ264" s="297"/>
      <c r="OEK264" s="297"/>
      <c r="OEL264" s="297"/>
      <c r="OEM264" s="297"/>
      <c r="OEN264" s="297"/>
      <c r="OEO264" s="297"/>
      <c r="OEP264" s="297"/>
      <c r="OEQ264" s="297"/>
      <c r="OER264" s="297"/>
      <c r="OES264" s="297"/>
      <c r="OET264" s="297"/>
      <c r="OEU264" s="297"/>
      <c r="OEV264" s="297"/>
      <c r="OEW264" s="297"/>
      <c r="OEX264" s="297"/>
      <c r="OEY264" s="297"/>
      <c r="OEZ264" s="297"/>
      <c r="OFA264" s="297"/>
      <c r="OFB264" s="297"/>
      <c r="OFC264" s="297"/>
      <c r="OFD264" s="297"/>
      <c r="OFE264" s="297"/>
      <c r="OFF264" s="297"/>
      <c r="OFG264" s="297"/>
      <c r="OFH264" s="297"/>
      <c r="OFI264" s="297"/>
      <c r="OFJ264" s="297"/>
      <c r="OFK264" s="297"/>
      <c r="OFL264" s="297"/>
      <c r="OFM264" s="297"/>
      <c r="OFN264" s="297"/>
      <c r="OFO264" s="297"/>
      <c r="OFP264" s="297"/>
      <c r="OFQ264" s="297"/>
      <c r="OFR264" s="297"/>
      <c r="OFS264" s="297"/>
      <c r="OFT264" s="297"/>
      <c r="OFU264" s="297"/>
      <c r="OFV264" s="297"/>
      <c r="OFW264" s="297"/>
      <c r="OFX264" s="297"/>
      <c r="OFY264" s="297"/>
      <c r="OFZ264" s="297"/>
      <c r="OGA264" s="297"/>
      <c r="OGB264" s="297"/>
      <c r="OGC264" s="297"/>
      <c r="OGD264" s="297"/>
      <c r="OGE264" s="297"/>
      <c r="OGF264" s="297"/>
      <c r="OGG264" s="297"/>
      <c r="OGH264" s="297"/>
      <c r="OGI264" s="297"/>
      <c r="OGJ264" s="297"/>
      <c r="OGK264" s="297"/>
      <c r="OGL264" s="297"/>
      <c r="OGM264" s="297"/>
      <c r="OGN264" s="297"/>
      <c r="OGO264" s="297"/>
      <c r="OGP264" s="297"/>
      <c r="OGQ264" s="297"/>
      <c r="OGR264" s="297"/>
      <c r="OGS264" s="297"/>
      <c r="OGT264" s="297"/>
      <c r="OGU264" s="297"/>
      <c r="OGV264" s="297"/>
      <c r="OGW264" s="297"/>
      <c r="OGX264" s="297"/>
      <c r="OGY264" s="297"/>
      <c r="OGZ264" s="297"/>
      <c r="OHA264" s="297"/>
      <c r="OHB264" s="297"/>
      <c r="OHC264" s="297"/>
      <c r="OHD264" s="297"/>
      <c r="OHE264" s="297"/>
      <c r="OHF264" s="297"/>
      <c r="OHG264" s="297"/>
      <c r="OHH264" s="297"/>
      <c r="OHI264" s="297"/>
      <c r="OHJ264" s="297"/>
      <c r="OHK264" s="297"/>
      <c r="OHL264" s="297"/>
      <c r="OHM264" s="297"/>
      <c r="OHN264" s="297"/>
      <c r="OHO264" s="297"/>
      <c r="OHP264" s="297"/>
      <c r="OHQ264" s="297"/>
      <c r="OHR264" s="297"/>
      <c r="OHS264" s="297"/>
      <c r="OHT264" s="297"/>
      <c r="OHU264" s="297"/>
      <c r="OHV264" s="297"/>
      <c r="OHW264" s="297"/>
      <c r="OHX264" s="297"/>
      <c r="OHY264" s="297"/>
      <c r="OHZ264" s="297"/>
      <c r="OIA264" s="297"/>
      <c r="OIB264" s="297"/>
      <c r="OIC264" s="297"/>
      <c r="OID264" s="297"/>
      <c r="OIE264" s="297"/>
      <c r="OIF264" s="297"/>
      <c r="OIG264" s="297"/>
      <c r="OIH264" s="297"/>
      <c r="OII264" s="297"/>
      <c r="OIJ264" s="297"/>
      <c r="OIK264" s="297"/>
      <c r="OIL264" s="297"/>
      <c r="OIM264" s="297"/>
      <c r="OIN264" s="297"/>
      <c r="OIO264" s="297"/>
      <c r="OIP264" s="297"/>
      <c r="OIQ264" s="297"/>
      <c r="OIR264" s="297"/>
      <c r="OIS264" s="297"/>
      <c r="OIT264" s="297"/>
      <c r="OIU264" s="297"/>
      <c r="OIV264" s="297"/>
      <c r="OIW264" s="297"/>
      <c r="OIX264" s="297"/>
      <c r="OIY264" s="297"/>
      <c r="OIZ264" s="297"/>
      <c r="OJA264" s="297"/>
      <c r="OJB264" s="297"/>
      <c r="OJC264" s="297"/>
      <c r="OJD264" s="297"/>
      <c r="OJE264" s="297"/>
      <c r="OJF264" s="297"/>
      <c r="OJG264" s="297"/>
      <c r="OJH264" s="297"/>
      <c r="OJI264" s="297"/>
      <c r="OJJ264" s="297"/>
      <c r="OJK264" s="297"/>
      <c r="OJL264" s="297"/>
      <c r="OJM264" s="297"/>
      <c r="OJN264" s="297"/>
      <c r="OJO264" s="297"/>
      <c r="OJP264" s="297"/>
      <c r="OJQ264" s="297"/>
      <c r="OJR264" s="297"/>
      <c r="OJS264" s="297"/>
      <c r="OJT264" s="297"/>
      <c r="OJU264" s="297"/>
      <c r="OJV264" s="297"/>
      <c r="OJW264" s="297"/>
      <c r="OJX264" s="297"/>
      <c r="OJY264" s="297"/>
      <c r="OJZ264" s="297"/>
      <c r="OKA264" s="297"/>
      <c r="OKB264" s="297"/>
      <c r="OKC264" s="297"/>
      <c r="OKD264" s="297"/>
      <c r="OKE264" s="297"/>
      <c r="OKF264" s="297"/>
      <c r="OKG264" s="297"/>
      <c r="OKH264" s="297"/>
      <c r="OKI264" s="297"/>
      <c r="OKJ264" s="297"/>
      <c r="OKK264" s="297"/>
      <c r="OKL264" s="297"/>
      <c r="OKM264" s="297"/>
      <c r="OKN264" s="297"/>
      <c r="OKO264" s="297"/>
      <c r="OKP264" s="297"/>
      <c r="OKQ264" s="297"/>
      <c r="OKR264" s="297"/>
      <c r="OKS264" s="297"/>
      <c r="OKT264" s="297"/>
      <c r="OKU264" s="297"/>
      <c r="OKV264" s="297"/>
      <c r="OKW264" s="297"/>
      <c r="OKX264" s="297"/>
      <c r="OKY264" s="297"/>
      <c r="OKZ264" s="297"/>
      <c r="OLA264" s="297"/>
      <c r="OLB264" s="297"/>
      <c r="OLC264" s="297"/>
      <c r="OLD264" s="297"/>
      <c r="OLE264" s="297"/>
      <c r="OLF264" s="297"/>
      <c r="OLG264" s="297"/>
      <c r="OLH264" s="297"/>
      <c r="OLI264" s="297"/>
      <c r="OLJ264" s="297"/>
      <c r="OLK264" s="297"/>
      <c r="OLL264" s="297"/>
      <c r="OLM264" s="297"/>
      <c r="OLN264" s="297"/>
      <c r="OLO264" s="297"/>
      <c r="OLP264" s="297"/>
      <c r="OLQ264" s="297"/>
      <c r="OLR264" s="297"/>
      <c r="OLS264" s="297"/>
      <c r="OLT264" s="297"/>
      <c r="OLU264" s="297"/>
      <c r="OLV264" s="297"/>
      <c r="OLW264" s="297"/>
      <c r="OLX264" s="297"/>
      <c r="OLY264" s="297"/>
      <c r="OLZ264" s="297"/>
      <c r="OMA264" s="297"/>
      <c r="OMB264" s="297"/>
      <c r="OMC264" s="297"/>
      <c r="OMD264" s="297"/>
      <c r="OME264" s="297"/>
      <c r="OMF264" s="297"/>
      <c r="OMG264" s="297"/>
      <c r="OMH264" s="297"/>
      <c r="OMI264" s="297"/>
      <c r="OMJ264" s="297"/>
      <c r="OMK264" s="297"/>
      <c r="OML264" s="297"/>
      <c r="OMM264" s="297"/>
      <c r="OMN264" s="297"/>
      <c r="OMO264" s="297"/>
      <c r="OMP264" s="297"/>
      <c r="OMQ264" s="297"/>
      <c r="OMR264" s="297"/>
      <c r="OMS264" s="297"/>
      <c r="OMT264" s="297"/>
      <c r="OMU264" s="297"/>
      <c r="OMV264" s="297"/>
      <c r="OMW264" s="297"/>
      <c r="OMX264" s="297"/>
      <c r="OMY264" s="297"/>
      <c r="OMZ264" s="297"/>
      <c r="ONA264" s="297"/>
      <c r="ONB264" s="297"/>
      <c r="ONC264" s="297"/>
      <c r="OND264" s="297"/>
      <c r="ONE264" s="297"/>
      <c r="ONF264" s="297"/>
      <c r="ONG264" s="297"/>
      <c r="ONH264" s="297"/>
      <c r="ONI264" s="297"/>
      <c r="ONJ264" s="297"/>
      <c r="ONK264" s="297"/>
      <c r="ONL264" s="297"/>
      <c r="ONM264" s="297"/>
      <c r="ONN264" s="297"/>
      <c r="ONO264" s="297"/>
      <c r="ONP264" s="297"/>
      <c r="ONQ264" s="297"/>
      <c r="ONR264" s="297"/>
      <c r="ONS264" s="297"/>
      <c r="ONT264" s="297"/>
      <c r="ONU264" s="297"/>
      <c r="ONV264" s="297"/>
      <c r="ONW264" s="297"/>
      <c r="ONX264" s="297"/>
      <c r="ONY264" s="297"/>
      <c r="ONZ264" s="297"/>
      <c r="OOA264" s="297"/>
      <c r="OOB264" s="297"/>
      <c r="OOC264" s="297"/>
      <c r="OOD264" s="297"/>
      <c r="OOE264" s="297"/>
      <c r="OOF264" s="297"/>
      <c r="OOG264" s="297"/>
      <c r="OOH264" s="297"/>
      <c r="OOI264" s="297"/>
      <c r="OOJ264" s="297"/>
      <c r="OOK264" s="297"/>
      <c r="OOL264" s="297"/>
      <c r="OOM264" s="297"/>
      <c r="OON264" s="297"/>
      <c r="OOO264" s="297"/>
      <c r="OOP264" s="297"/>
      <c r="OOQ264" s="297"/>
      <c r="OOR264" s="297"/>
      <c r="OOS264" s="297"/>
      <c r="OOT264" s="297"/>
      <c r="OOU264" s="297"/>
      <c r="OOV264" s="297"/>
      <c r="OOW264" s="297"/>
      <c r="OOX264" s="297"/>
      <c r="OOY264" s="297"/>
      <c r="OOZ264" s="297"/>
      <c r="OPA264" s="297"/>
      <c r="OPB264" s="297"/>
      <c r="OPC264" s="297"/>
      <c r="OPD264" s="297"/>
      <c r="OPE264" s="297"/>
      <c r="OPF264" s="297"/>
      <c r="OPG264" s="297"/>
      <c r="OPH264" s="297"/>
      <c r="OPI264" s="297"/>
      <c r="OPJ264" s="297"/>
      <c r="OPK264" s="297"/>
      <c r="OPL264" s="297"/>
      <c r="OPM264" s="297"/>
      <c r="OPN264" s="297"/>
      <c r="OPO264" s="297"/>
      <c r="OPP264" s="297"/>
      <c r="OPQ264" s="297"/>
      <c r="OPR264" s="297"/>
      <c r="OPS264" s="297"/>
      <c r="OPT264" s="297"/>
      <c r="OPU264" s="297"/>
      <c r="OPV264" s="297"/>
      <c r="OPW264" s="297"/>
      <c r="OPX264" s="297"/>
      <c r="OPY264" s="297"/>
      <c r="OPZ264" s="297"/>
      <c r="OQA264" s="297"/>
      <c r="OQB264" s="297"/>
      <c r="OQC264" s="297"/>
      <c r="OQD264" s="297"/>
      <c r="OQE264" s="297"/>
      <c r="OQF264" s="297"/>
      <c r="OQG264" s="297"/>
      <c r="OQH264" s="297"/>
      <c r="OQI264" s="297"/>
      <c r="OQJ264" s="297"/>
      <c r="OQK264" s="297"/>
      <c r="OQL264" s="297"/>
      <c r="OQM264" s="297"/>
      <c r="OQN264" s="297"/>
      <c r="OQO264" s="297"/>
      <c r="OQP264" s="297"/>
      <c r="OQQ264" s="297"/>
      <c r="OQR264" s="297"/>
      <c r="OQS264" s="297"/>
      <c r="OQT264" s="297"/>
      <c r="OQU264" s="297"/>
      <c r="OQV264" s="297"/>
      <c r="OQW264" s="297"/>
      <c r="OQX264" s="297"/>
      <c r="OQY264" s="297"/>
      <c r="OQZ264" s="297"/>
      <c r="ORA264" s="297"/>
      <c r="ORB264" s="297"/>
      <c r="ORC264" s="297"/>
      <c r="ORD264" s="297"/>
      <c r="ORE264" s="297"/>
      <c r="ORF264" s="297"/>
      <c r="ORG264" s="297"/>
      <c r="ORH264" s="297"/>
      <c r="ORI264" s="297"/>
      <c r="ORJ264" s="297"/>
      <c r="ORK264" s="297"/>
      <c r="ORL264" s="297"/>
      <c r="ORM264" s="297"/>
      <c r="ORN264" s="297"/>
      <c r="ORO264" s="297"/>
      <c r="ORP264" s="297"/>
      <c r="ORQ264" s="297"/>
      <c r="ORR264" s="297"/>
      <c r="ORS264" s="297"/>
      <c r="ORT264" s="297"/>
      <c r="ORU264" s="297"/>
      <c r="ORV264" s="297"/>
      <c r="ORW264" s="297"/>
      <c r="ORX264" s="297"/>
      <c r="ORY264" s="297"/>
      <c r="ORZ264" s="297"/>
      <c r="OSA264" s="297"/>
      <c r="OSB264" s="297"/>
      <c r="OSC264" s="297"/>
      <c r="OSD264" s="297"/>
      <c r="OSE264" s="297"/>
      <c r="OSF264" s="297"/>
      <c r="OSG264" s="297"/>
      <c r="OSH264" s="297"/>
      <c r="OSI264" s="297"/>
      <c r="OSJ264" s="297"/>
      <c r="OSK264" s="297"/>
      <c r="OSL264" s="297"/>
      <c r="OSM264" s="297"/>
      <c r="OSN264" s="297"/>
      <c r="OSO264" s="297"/>
      <c r="OSP264" s="297"/>
      <c r="OSQ264" s="297"/>
      <c r="OSR264" s="297"/>
      <c r="OSS264" s="297"/>
      <c r="OST264" s="297"/>
      <c r="OSU264" s="297"/>
      <c r="OSV264" s="297"/>
      <c r="OSW264" s="297"/>
      <c r="OSX264" s="297"/>
      <c r="OSY264" s="297"/>
      <c r="OSZ264" s="297"/>
      <c r="OTA264" s="297"/>
      <c r="OTB264" s="297"/>
      <c r="OTC264" s="297"/>
      <c r="OTD264" s="297"/>
      <c r="OTE264" s="297"/>
      <c r="OTF264" s="297"/>
      <c r="OTG264" s="297"/>
      <c r="OTH264" s="297"/>
      <c r="OTI264" s="297"/>
      <c r="OTJ264" s="297"/>
      <c r="OTK264" s="297"/>
      <c r="OTL264" s="297"/>
      <c r="OTM264" s="297"/>
      <c r="OTN264" s="297"/>
      <c r="OTO264" s="297"/>
      <c r="OTP264" s="297"/>
      <c r="OTQ264" s="297"/>
      <c r="OTR264" s="297"/>
      <c r="OTS264" s="297"/>
      <c r="OTT264" s="297"/>
      <c r="OTU264" s="297"/>
      <c r="OTV264" s="297"/>
      <c r="OTW264" s="297"/>
      <c r="OTX264" s="297"/>
      <c r="OTY264" s="297"/>
      <c r="OTZ264" s="297"/>
      <c r="OUA264" s="297"/>
      <c r="OUB264" s="297"/>
      <c r="OUC264" s="297"/>
      <c r="OUD264" s="297"/>
      <c r="OUE264" s="297"/>
      <c r="OUF264" s="297"/>
      <c r="OUG264" s="297"/>
      <c r="OUH264" s="297"/>
      <c r="OUI264" s="297"/>
      <c r="OUJ264" s="297"/>
      <c r="OUK264" s="297"/>
      <c r="OUL264" s="297"/>
      <c r="OUM264" s="297"/>
      <c r="OUN264" s="297"/>
      <c r="OUO264" s="297"/>
      <c r="OUP264" s="297"/>
      <c r="OUQ264" s="297"/>
      <c r="OUR264" s="297"/>
      <c r="OUS264" s="297"/>
      <c r="OUT264" s="297"/>
      <c r="OUU264" s="297"/>
      <c r="OUV264" s="297"/>
      <c r="OUW264" s="297"/>
      <c r="OUX264" s="297"/>
      <c r="OUY264" s="297"/>
      <c r="OUZ264" s="297"/>
      <c r="OVA264" s="297"/>
      <c r="OVB264" s="297"/>
      <c r="OVC264" s="297"/>
      <c r="OVD264" s="297"/>
      <c r="OVE264" s="297"/>
      <c r="OVF264" s="297"/>
      <c r="OVG264" s="297"/>
      <c r="OVH264" s="297"/>
      <c r="OVI264" s="297"/>
      <c r="OVJ264" s="297"/>
      <c r="OVK264" s="297"/>
      <c r="OVL264" s="297"/>
      <c r="OVM264" s="297"/>
      <c r="OVN264" s="297"/>
      <c r="OVO264" s="297"/>
      <c r="OVP264" s="297"/>
      <c r="OVQ264" s="297"/>
      <c r="OVR264" s="297"/>
      <c r="OVS264" s="297"/>
      <c r="OVT264" s="297"/>
      <c r="OVU264" s="297"/>
      <c r="OVV264" s="297"/>
      <c r="OVW264" s="297"/>
      <c r="OVX264" s="297"/>
      <c r="OVY264" s="297"/>
      <c r="OVZ264" s="297"/>
      <c r="OWA264" s="297"/>
      <c r="OWB264" s="297"/>
      <c r="OWC264" s="297"/>
      <c r="OWD264" s="297"/>
      <c r="OWE264" s="297"/>
      <c r="OWF264" s="297"/>
      <c r="OWG264" s="297"/>
      <c r="OWH264" s="297"/>
      <c r="OWI264" s="297"/>
      <c r="OWJ264" s="297"/>
      <c r="OWK264" s="297"/>
      <c r="OWL264" s="297"/>
      <c r="OWM264" s="297"/>
      <c r="OWN264" s="297"/>
      <c r="OWO264" s="297"/>
      <c r="OWP264" s="297"/>
      <c r="OWQ264" s="297"/>
      <c r="OWR264" s="297"/>
      <c r="OWS264" s="297"/>
      <c r="OWT264" s="297"/>
      <c r="OWU264" s="297"/>
      <c r="OWV264" s="297"/>
      <c r="OWW264" s="297"/>
      <c r="OWX264" s="297"/>
      <c r="OWY264" s="297"/>
      <c r="OWZ264" s="297"/>
      <c r="OXA264" s="297"/>
      <c r="OXB264" s="297"/>
      <c r="OXC264" s="297"/>
      <c r="OXD264" s="297"/>
      <c r="OXE264" s="297"/>
      <c r="OXF264" s="297"/>
      <c r="OXG264" s="297"/>
      <c r="OXH264" s="297"/>
      <c r="OXI264" s="297"/>
      <c r="OXJ264" s="297"/>
      <c r="OXK264" s="297"/>
      <c r="OXL264" s="297"/>
      <c r="OXM264" s="297"/>
      <c r="OXN264" s="297"/>
      <c r="OXO264" s="297"/>
      <c r="OXP264" s="297"/>
      <c r="OXQ264" s="297"/>
      <c r="OXR264" s="297"/>
      <c r="OXS264" s="297"/>
      <c r="OXT264" s="297"/>
      <c r="OXU264" s="297"/>
      <c r="OXV264" s="297"/>
      <c r="OXW264" s="297"/>
      <c r="OXX264" s="297"/>
      <c r="OXY264" s="297"/>
      <c r="OXZ264" s="297"/>
      <c r="OYA264" s="297"/>
      <c r="OYB264" s="297"/>
      <c r="OYC264" s="297"/>
      <c r="OYD264" s="297"/>
      <c r="OYE264" s="297"/>
      <c r="OYF264" s="297"/>
      <c r="OYG264" s="297"/>
      <c r="OYH264" s="297"/>
      <c r="OYI264" s="297"/>
      <c r="OYJ264" s="297"/>
      <c r="OYK264" s="297"/>
      <c r="OYL264" s="297"/>
      <c r="OYM264" s="297"/>
      <c r="OYN264" s="297"/>
      <c r="OYO264" s="297"/>
      <c r="OYP264" s="297"/>
      <c r="OYQ264" s="297"/>
      <c r="OYR264" s="297"/>
      <c r="OYS264" s="297"/>
      <c r="OYT264" s="297"/>
      <c r="OYU264" s="297"/>
      <c r="OYV264" s="297"/>
      <c r="OYW264" s="297"/>
      <c r="OYX264" s="297"/>
      <c r="OYY264" s="297"/>
      <c r="OYZ264" s="297"/>
      <c r="OZA264" s="297"/>
      <c r="OZB264" s="297"/>
      <c r="OZC264" s="297"/>
      <c r="OZD264" s="297"/>
      <c r="OZE264" s="297"/>
      <c r="OZF264" s="297"/>
      <c r="OZG264" s="297"/>
      <c r="OZH264" s="297"/>
      <c r="OZI264" s="297"/>
      <c r="OZJ264" s="297"/>
      <c r="OZK264" s="297"/>
      <c r="OZL264" s="297"/>
      <c r="OZM264" s="297"/>
      <c r="OZN264" s="297"/>
      <c r="OZO264" s="297"/>
      <c r="OZP264" s="297"/>
      <c r="OZQ264" s="297"/>
      <c r="OZR264" s="297"/>
      <c r="OZS264" s="297"/>
      <c r="OZT264" s="297"/>
      <c r="OZU264" s="297"/>
      <c r="OZV264" s="297"/>
      <c r="OZW264" s="297"/>
      <c r="OZX264" s="297"/>
      <c r="OZY264" s="297"/>
      <c r="OZZ264" s="297"/>
      <c r="PAA264" s="297"/>
      <c r="PAB264" s="297"/>
      <c r="PAC264" s="297"/>
      <c r="PAD264" s="297"/>
      <c r="PAE264" s="297"/>
      <c r="PAF264" s="297"/>
      <c r="PAG264" s="297"/>
      <c r="PAH264" s="297"/>
      <c r="PAI264" s="297"/>
      <c r="PAJ264" s="297"/>
      <c r="PAK264" s="297"/>
      <c r="PAL264" s="297"/>
      <c r="PAM264" s="297"/>
      <c r="PAN264" s="297"/>
      <c r="PAO264" s="297"/>
      <c r="PAP264" s="297"/>
      <c r="PAQ264" s="297"/>
      <c r="PAR264" s="297"/>
      <c r="PAS264" s="297"/>
      <c r="PAT264" s="297"/>
      <c r="PAU264" s="297"/>
      <c r="PAV264" s="297"/>
      <c r="PAW264" s="297"/>
      <c r="PAX264" s="297"/>
      <c r="PAY264" s="297"/>
      <c r="PAZ264" s="297"/>
      <c r="PBA264" s="297"/>
      <c r="PBB264" s="297"/>
      <c r="PBC264" s="297"/>
      <c r="PBD264" s="297"/>
      <c r="PBE264" s="297"/>
      <c r="PBF264" s="297"/>
      <c r="PBG264" s="297"/>
      <c r="PBH264" s="297"/>
      <c r="PBI264" s="297"/>
      <c r="PBJ264" s="297"/>
      <c r="PBK264" s="297"/>
      <c r="PBL264" s="297"/>
      <c r="PBM264" s="297"/>
      <c r="PBN264" s="297"/>
      <c r="PBO264" s="297"/>
      <c r="PBP264" s="297"/>
      <c r="PBQ264" s="297"/>
      <c r="PBR264" s="297"/>
      <c r="PBS264" s="297"/>
      <c r="PBT264" s="297"/>
      <c r="PBU264" s="297"/>
      <c r="PBV264" s="297"/>
      <c r="PBW264" s="297"/>
      <c r="PBX264" s="297"/>
      <c r="PBY264" s="297"/>
      <c r="PBZ264" s="297"/>
      <c r="PCA264" s="297"/>
      <c r="PCB264" s="297"/>
      <c r="PCC264" s="297"/>
      <c r="PCD264" s="297"/>
      <c r="PCE264" s="297"/>
      <c r="PCF264" s="297"/>
      <c r="PCG264" s="297"/>
      <c r="PCH264" s="297"/>
      <c r="PCI264" s="297"/>
      <c r="PCJ264" s="297"/>
      <c r="PCK264" s="297"/>
      <c r="PCL264" s="297"/>
      <c r="PCM264" s="297"/>
      <c r="PCN264" s="297"/>
      <c r="PCO264" s="297"/>
      <c r="PCP264" s="297"/>
      <c r="PCQ264" s="297"/>
      <c r="PCR264" s="297"/>
      <c r="PCS264" s="297"/>
      <c r="PCT264" s="297"/>
      <c r="PCU264" s="297"/>
      <c r="PCV264" s="297"/>
      <c r="PCW264" s="297"/>
      <c r="PCX264" s="297"/>
      <c r="PCY264" s="297"/>
      <c r="PCZ264" s="297"/>
      <c r="PDA264" s="297"/>
      <c r="PDB264" s="297"/>
      <c r="PDC264" s="297"/>
      <c r="PDD264" s="297"/>
      <c r="PDE264" s="297"/>
      <c r="PDF264" s="297"/>
      <c r="PDG264" s="297"/>
      <c r="PDH264" s="297"/>
      <c r="PDI264" s="297"/>
      <c r="PDJ264" s="297"/>
      <c r="PDK264" s="297"/>
      <c r="PDL264" s="297"/>
      <c r="PDM264" s="297"/>
      <c r="PDN264" s="297"/>
      <c r="PDO264" s="297"/>
      <c r="PDP264" s="297"/>
      <c r="PDQ264" s="297"/>
      <c r="PDR264" s="297"/>
      <c r="PDS264" s="297"/>
      <c r="PDT264" s="297"/>
      <c r="PDU264" s="297"/>
      <c r="PDV264" s="297"/>
      <c r="PDW264" s="297"/>
      <c r="PDX264" s="297"/>
      <c r="PDY264" s="297"/>
      <c r="PDZ264" s="297"/>
      <c r="PEA264" s="297"/>
      <c r="PEB264" s="297"/>
      <c r="PEC264" s="297"/>
      <c r="PED264" s="297"/>
      <c r="PEE264" s="297"/>
      <c r="PEF264" s="297"/>
      <c r="PEG264" s="297"/>
      <c r="PEH264" s="297"/>
      <c r="PEI264" s="297"/>
      <c r="PEJ264" s="297"/>
      <c r="PEK264" s="297"/>
      <c r="PEL264" s="297"/>
      <c r="PEM264" s="297"/>
      <c r="PEN264" s="297"/>
      <c r="PEO264" s="297"/>
      <c r="PEP264" s="297"/>
      <c r="PEQ264" s="297"/>
      <c r="PER264" s="297"/>
      <c r="PES264" s="297"/>
      <c r="PET264" s="297"/>
      <c r="PEU264" s="297"/>
      <c r="PEV264" s="297"/>
      <c r="PEW264" s="297"/>
      <c r="PEX264" s="297"/>
      <c r="PEY264" s="297"/>
      <c r="PEZ264" s="297"/>
      <c r="PFA264" s="297"/>
      <c r="PFB264" s="297"/>
      <c r="PFC264" s="297"/>
      <c r="PFD264" s="297"/>
      <c r="PFE264" s="297"/>
      <c r="PFF264" s="297"/>
      <c r="PFG264" s="297"/>
      <c r="PFH264" s="297"/>
      <c r="PFI264" s="297"/>
      <c r="PFJ264" s="297"/>
      <c r="PFK264" s="297"/>
      <c r="PFL264" s="297"/>
      <c r="PFM264" s="297"/>
      <c r="PFN264" s="297"/>
      <c r="PFO264" s="297"/>
      <c r="PFP264" s="297"/>
      <c r="PFQ264" s="297"/>
      <c r="PFR264" s="297"/>
      <c r="PFS264" s="297"/>
      <c r="PFT264" s="297"/>
      <c r="PFU264" s="297"/>
      <c r="PFV264" s="297"/>
      <c r="PFW264" s="297"/>
      <c r="PFX264" s="297"/>
      <c r="PFY264" s="297"/>
      <c r="PFZ264" s="297"/>
      <c r="PGA264" s="297"/>
      <c r="PGB264" s="297"/>
      <c r="PGC264" s="297"/>
      <c r="PGD264" s="297"/>
      <c r="PGE264" s="297"/>
      <c r="PGF264" s="297"/>
      <c r="PGG264" s="297"/>
      <c r="PGH264" s="297"/>
      <c r="PGI264" s="297"/>
      <c r="PGJ264" s="297"/>
      <c r="PGK264" s="297"/>
      <c r="PGL264" s="297"/>
      <c r="PGM264" s="297"/>
      <c r="PGN264" s="297"/>
      <c r="PGO264" s="297"/>
      <c r="PGP264" s="297"/>
      <c r="PGQ264" s="297"/>
      <c r="PGR264" s="297"/>
      <c r="PGS264" s="297"/>
      <c r="PGT264" s="297"/>
      <c r="PGU264" s="297"/>
      <c r="PGV264" s="297"/>
      <c r="PGW264" s="297"/>
      <c r="PGX264" s="297"/>
      <c r="PGY264" s="297"/>
      <c r="PGZ264" s="297"/>
      <c r="PHA264" s="297"/>
      <c r="PHB264" s="297"/>
      <c r="PHC264" s="297"/>
      <c r="PHD264" s="297"/>
      <c r="PHE264" s="297"/>
      <c r="PHF264" s="297"/>
      <c r="PHG264" s="297"/>
      <c r="PHH264" s="297"/>
      <c r="PHI264" s="297"/>
      <c r="PHJ264" s="297"/>
      <c r="PHK264" s="297"/>
      <c r="PHL264" s="297"/>
      <c r="PHM264" s="297"/>
      <c r="PHN264" s="297"/>
      <c r="PHO264" s="297"/>
      <c r="PHP264" s="297"/>
      <c r="PHQ264" s="297"/>
      <c r="PHR264" s="297"/>
      <c r="PHS264" s="297"/>
      <c r="PHT264" s="297"/>
      <c r="PHU264" s="297"/>
      <c r="PHV264" s="297"/>
      <c r="PHW264" s="297"/>
      <c r="PHX264" s="297"/>
      <c r="PHY264" s="297"/>
      <c r="PHZ264" s="297"/>
      <c r="PIA264" s="297"/>
      <c r="PIB264" s="297"/>
      <c r="PIC264" s="297"/>
      <c r="PID264" s="297"/>
      <c r="PIE264" s="297"/>
      <c r="PIF264" s="297"/>
      <c r="PIG264" s="297"/>
      <c r="PIH264" s="297"/>
      <c r="PII264" s="297"/>
      <c r="PIJ264" s="297"/>
      <c r="PIK264" s="297"/>
      <c r="PIL264" s="297"/>
      <c r="PIM264" s="297"/>
      <c r="PIN264" s="297"/>
      <c r="PIO264" s="297"/>
      <c r="PIP264" s="297"/>
      <c r="PIQ264" s="297"/>
      <c r="PIR264" s="297"/>
      <c r="PIS264" s="297"/>
      <c r="PIT264" s="297"/>
      <c r="PIU264" s="297"/>
      <c r="PIV264" s="297"/>
      <c r="PIW264" s="297"/>
      <c r="PIX264" s="297"/>
      <c r="PIY264" s="297"/>
      <c r="PIZ264" s="297"/>
      <c r="PJA264" s="297"/>
      <c r="PJB264" s="297"/>
      <c r="PJC264" s="297"/>
      <c r="PJD264" s="297"/>
      <c r="PJE264" s="297"/>
      <c r="PJF264" s="297"/>
      <c r="PJG264" s="297"/>
      <c r="PJH264" s="297"/>
      <c r="PJI264" s="297"/>
      <c r="PJJ264" s="297"/>
      <c r="PJK264" s="297"/>
      <c r="PJL264" s="297"/>
      <c r="PJM264" s="297"/>
      <c r="PJN264" s="297"/>
      <c r="PJO264" s="297"/>
      <c r="PJP264" s="297"/>
      <c r="PJQ264" s="297"/>
      <c r="PJR264" s="297"/>
      <c r="PJS264" s="297"/>
      <c r="PJT264" s="297"/>
      <c r="PJU264" s="297"/>
      <c r="PJV264" s="297"/>
      <c r="PJW264" s="297"/>
      <c r="PJX264" s="297"/>
      <c r="PJY264" s="297"/>
      <c r="PJZ264" s="297"/>
      <c r="PKA264" s="297"/>
      <c r="PKB264" s="297"/>
      <c r="PKC264" s="297"/>
      <c r="PKD264" s="297"/>
      <c r="PKE264" s="297"/>
      <c r="PKF264" s="297"/>
      <c r="PKG264" s="297"/>
      <c r="PKH264" s="297"/>
      <c r="PKI264" s="297"/>
      <c r="PKJ264" s="297"/>
      <c r="PKK264" s="297"/>
      <c r="PKL264" s="297"/>
      <c r="PKM264" s="297"/>
      <c r="PKN264" s="297"/>
      <c r="PKO264" s="297"/>
      <c r="PKP264" s="297"/>
      <c r="PKQ264" s="297"/>
      <c r="PKR264" s="297"/>
      <c r="PKS264" s="297"/>
      <c r="PKT264" s="297"/>
      <c r="PKU264" s="297"/>
      <c r="PKV264" s="297"/>
      <c r="PKW264" s="297"/>
      <c r="PKX264" s="297"/>
      <c r="PKY264" s="297"/>
      <c r="PKZ264" s="297"/>
      <c r="PLA264" s="297"/>
      <c r="PLB264" s="297"/>
      <c r="PLC264" s="297"/>
      <c r="PLD264" s="297"/>
      <c r="PLE264" s="297"/>
      <c r="PLF264" s="297"/>
      <c r="PLG264" s="297"/>
      <c r="PLH264" s="297"/>
      <c r="PLI264" s="297"/>
      <c r="PLJ264" s="297"/>
      <c r="PLK264" s="297"/>
      <c r="PLL264" s="297"/>
      <c r="PLM264" s="297"/>
      <c r="PLN264" s="297"/>
      <c r="PLO264" s="297"/>
      <c r="PLP264" s="297"/>
      <c r="PLQ264" s="297"/>
      <c r="PLR264" s="297"/>
      <c r="PLS264" s="297"/>
      <c r="PLT264" s="297"/>
      <c r="PLU264" s="297"/>
      <c r="PLV264" s="297"/>
      <c r="PLW264" s="297"/>
      <c r="PLX264" s="297"/>
      <c r="PLY264" s="297"/>
      <c r="PLZ264" s="297"/>
      <c r="PMA264" s="297"/>
      <c r="PMB264" s="297"/>
      <c r="PMC264" s="297"/>
      <c r="PMD264" s="297"/>
      <c r="PME264" s="297"/>
      <c r="PMF264" s="297"/>
      <c r="PMG264" s="297"/>
      <c r="PMH264" s="297"/>
      <c r="PMI264" s="297"/>
      <c r="PMJ264" s="297"/>
      <c r="PMK264" s="297"/>
      <c r="PML264" s="297"/>
      <c r="PMM264" s="297"/>
      <c r="PMN264" s="297"/>
      <c r="PMO264" s="297"/>
      <c r="PMP264" s="297"/>
      <c r="PMQ264" s="297"/>
      <c r="PMR264" s="297"/>
      <c r="PMS264" s="297"/>
      <c r="PMT264" s="297"/>
      <c r="PMU264" s="297"/>
      <c r="PMV264" s="297"/>
      <c r="PMW264" s="297"/>
      <c r="PMX264" s="297"/>
      <c r="PMY264" s="297"/>
      <c r="PMZ264" s="297"/>
      <c r="PNA264" s="297"/>
      <c r="PNB264" s="297"/>
      <c r="PNC264" s="297"/>
      <c r="PND264" s="297"/>
      <c r="PNE264" s="297"/>
      <c r="PNF264" s="297"/>
      <c r="PNG264" s="297"/>
      <c r="PNH264" s="297"/>
      <c r="PNI264" s="297"/>
      <c r="PNJ264" s="297"/>
      <c r="PNK264" s="297"/>
      <c r="PNL264" s="297"/>
      <c r="PNM264" s="297"/>
      <c r="PNN264" s="297"/>
      <c r="PNO264" s="297"/>
      <c r="PNP264" s="297"/>
      <c r="PNQ264" s="297"/>
      <c r="PNR264" s="297"/>
      <c r="PNS264" s="297"/>
      <c r="PNT264" s="297"/>
      <c r="PNU264" s="297"/>
      <c r="PNV264" s="297"/>
      <c r="PNW264" s="297"/>
      <c r="PNX264" s="297"/>
      <c r="PNY264" s="297"/>
      <c r="PNZ264" s="297"/>
      <c r="POA264" s="297"/>
      <c r="POB264" s="297"/>
      <c r="POC264" s="297"/>
      <c r="POD264" s="297"/>
      <c r="POE264" s="297"/>
      <c r="POF264" s="297"/>
      <c r="POG264" s="297"/>
      <c r="POH264" s="297"/>
      <c r="POI264" s="297"/>
      <c r="POJ264" s="297"/>
      <c r="POK264" s="297"/>
      <c r="POL264" s="297"/>
      <c r="POM264" s="297"/>
      <c r="PON264" s="297"/>
      <c r="POO264" s="297"/>
      <c r="POP264" s="297"/>
      <c r="POQ264" s="297"/>
      <c r="POR264" s="297"/>
      <c r="POS264" s="297"/>
      <c r="POT264" s="297"/>
      <c r="POU264" s="297"/>
      <c r="POV264" s="297"/>
      <c r="POW264" s="297"/>
      <c r="POX264" s="297"/>
      <c r="POY264" s="297"/>
      <c r="POZ264" s="297"/>
      <c r="PPA264" s="297"/>
      <c r="PPB264" s="297"/>
      <c r="PPC264" s="297"/>
      <c r="PPD264" s="297"/>
      <c r="PPE264" s="297"/>
      <c r="PPF264" s="297"/>
      <c r="PPG264" s="297"/>
      <c r="PPH264" s="297"/>
      <c r="PPI264" s="297"/>
      <c r="PPJ264" s="297"/>
      <c r="PPK264" s="297"/>
      <c r="PPL264" s="297"/>
      <c r="PPM264" s="297"/>
      <c r="PPN264" s="297"/>
      <c r="PPO264" s="297"/>
      <c r="PPP264" s="297"/>
      <c r="PPQ264" s="297"/>
      <c r="PPR264" s="297"/>
      <c r="PPS264" s="297"/>
      <c r="PPT264" s="297"/>
      <c r="PPU264" s="297"/>
      <c r="PPV264" s="297"/>
      <c r="PPW264" s="297"/>
      <c r="PPX264" s="297"/>
      <c r="PPY264" s="297"/>
      <c r="PPZ264" s="297"/>
      <c r="PQA264" s="297"/>
      <c r="PQB264" s="297"/>
      <c r="PQC264" s="297"/>
      <c r="PQD264" s="297"/>
      <c r="PQE264" s="297"/>
      <c r="PQF264" s="297"/>
      <c r="PQG264" s="297"/>
      <c r="PQH264" s="297"/>
      <c r="PQI264" s="297"/>
      <c r="PQJ264" s="297"/>
      <c r="PQK264" s="297"/>
      <c r="PQL264" s="297"/>
      <c r="PQM264" s="297"/>
      <c r="PQN264" s="297"/>
      <c r="PQO264" s="297"/>
      <c r="PQP264" s="297"/>
      <c r="PQQ264" s="297"/>
      <c r="PQR264" s="297"/>
      <c r="PQS264" s="297"/>
      <c r="PQT264" s="297"/>
      <c r="PQU264" s="297"/>
      <c r="PQV264" s="297"/>
      <c r="PQW264" s="297"/>
      <c r="PQX264" s="297"/>
      <c r="PQY264" s="297"/>
      <c r="PQZ264" s="297"/>
      <c r="PRA264" s="297"/>
      <c r="PRB264" s="297"/>
      <c r="PRC264" s="297"/>
      <c r="PRD264" s="297"/>
      <c r="PRE264" s="297"/>
      <c r="PRF264" s="297"/>
      <c r="PRG264" s="297"/>
      <c r="PRH264" s="297"/>
      <c r="PRI264" s="297"/>
      <c r="PRJ264" s="297"/>
      <c r="PRK264" s="297"/>
      <c r="PRL264" s="297"/>
      <c r="PRM264" s="297"/>
      <c r="PRN264" s="297"/>
      <c r="PRO264" s="297"/>
      <c r="PRP264" s="297"/>
      <c r="PRQ264" s="297"/>
      <c r="PRR264" s="297"/>
      <c r="PRS264" s="297"/>
      <c r="PRT264" s="297"/>
      <c r="PRU264" s="297"/>
      <c r="PRV264" s="297"/>
      <c r="PRW264" s="297"/>
      <c r="PRX264" s="297"/>
      <c r="PRY264" s="297"/>
      <c r="PRZ264" s="297"/>
      <c r="PSA264" s="297"/>
      <c r="PSB264" s="297"/>
      <c r="PSC264" s="297"/>
      <c r="PSD264" s="297"/>
      <c r="PSE264" s="297"/>
      <c r="PSF264" s="297"/>
      <c r="PSG264" s="297"/>
      <c r="PSH264" s="297"/>
      <c r="PSI264" s="297"/>
      <c r="PSJ264" s="297"/>
      <c r="PSK264" s="297"/>
      <c r="PSL264" s="297"/>
      <c r="PSM264" s="297"/>
      <c r="PSN264" s="297"/>
      <c r="PSO264" s="297"/>
      <c r="PSP264" s="297"/>
      <c r="PSQ264" s="297"/>
      <c r="PSR264" s="297"/>
      <c r="PSS264" s="297"/>
      <c r="PST264" s="297"/>
      <c r="PSU264" s="297"/>
      <c r="PSV264" s="297"/>
      <c r="PSW264" s="297"/>
      <c r="PSX264" s="297"/>
      <c r="PSY264" s="297"/>
      <c r="PSZ264" s="297"/>
      <c r="PTA264" s="297"/>
      <c r="PTB264" s="297"/>
      <c r="PTC264" s="297"/>
      <c r="PTD264" s="297"/>
      <c r="PTE264" s="297"/>
      <c r="PTF264" s="297"/>
      <c r="PTG264" s="297"/>
      <c r="PTH264" s="297"/>
      <c r="PTI264" s="297"/>
      <c r="PTJ264" s="297"/>
      <c r="PTK264" s="297"/>
      <c r="PTL264" s="297"/>
      <c r="PTM264" s="297"/>
      <c r="PTN264" s="297"/>
      <c r="PTO264" s="297"/>
      <c r="PTP264" s="297"/>
      <c r="PTQ264" s="297"/>
      <c r="PTR264" s="297"/>
      <c r="PTS264" s="297"/>
      <c r="PTT264" s="297"/>
      <c r="PTU264" s="297"/>
      <c r="PTV264" s="297"/>
      <c r="PTW264" s="297"/>
      <c r="PTX264" s="297"/>
      <c r="PTY264" s="297"/>
      <c r="PTZ264" s="297"/>
      <c r="PUA264" s="297"/>
      <c r="PUB264" s="297"/>
      <c r="PUC264" s="297"/>
      <c r="PUD264" s="297"/>
      <c r="PUE264" s="297"/>
      <c r="PUF264" s="297"/>
      <c r="PUG264" s="297"/>
      <c r="PUH264" s="297"/>
      <c r="PUI264" s="297"/>
      <c r="PUJ264" s="297"/>
      <c r="PUK264" s="297"/>
      <c r="PUL264" s="297"/>
      <c r="PUM264" s="297"/>
      <c r="PUN264" s="297"/>
      <c r="PUO264" s="297"/>
      <c r="PUP264" s="297"/>
      <c r="PUQ264" s="297"/>
      <c r="PUR264" s="297"/>
      <c r="PUS264" s="297"/>
      <c r="PUT264" s="297"/>
      <c r="PUU264" s="297"/>
      <c r="PUV264" s="297"/>
      <c r="PUW264" s="297"/>
      <c r="PUX264" s="297"/>
      <c r="PUY264" s="297"/>
      <c r="PUZ264" s="297"/>
      <c r="PVA264" s="297"/>
      <c r="PVB264" s="297"/>
      <c r="PVC264" s="297"/>
      <c r="PVD264" s="297"/>
      <c r="PVE264" s="297"/>
      <c r="PVF264" s="297"/>
      <c r="PVG264" s="297"/>
      <c r="PVH264" s="297"/>
      <c r="PVI264" s="297"/>
      <c r="PVJ264" s="297"/>
      <c r="PVK264" s="297"/>
      <c r="PVL264" s="297"/>
      <c r="PVM264" s="297"/>
      <c r="PVN264" s="297"/>
      <c r="PVO264" s="297"/>
      <c r="PVP264" s="297"/>
      <c r="PVQ264" s="297"/>
      <c r="PVR264" s="297"/>
      <c r="PVS264" s="297"/>
      <c r="PVT264" s="297"/>
      <c r="PVU264" s="297"/>
      <c r="PVV264" s="297"/>
      <c r="PVW264" s="297"/>
      <c r="PVX264" s="297"/>
      <c r="PVY264" s="297"/>
      <c r="PVZ264" s="297"/>
      <c r="PWA264" s="297"/>
      <c r="PWB264" s="297"/>
      <c r="PWC264" s="297"/>
      <c r="PWD264" s="297"/>
      <c r="PWE264" s="297"/>
      <c r="PWF264" s="297"/>
      <c r="PWG264" s="297"/>
      <c r="PWH264" s="297"/>
      <c r="PWI264" s="297"/>
      <c r="PWJ264" s="297"/>
      <c r="PWK264" s="297"/>
      <c r="PWL264" s="297"/>
      <c r="PWM264" s="297"/>
      <c r="PWN264" s="297"/>
      <c r="PWO264" s="297"/>
      <c r="PWP264" s="297"/>
      <c r="PWQ264" s="297"/>
      <c r="PWR264" s="297"/>
      <c r="PWS264" s="297"/>
      <c r="PWT264" s="297"/>
      <c r="PWU264" s="297"/>
      <c r="PWV264" s="297"/>
      <c r="PWW264" s="297"/>
      <c r="PWX264" s="297"/>
      <c r="PWY264" s="297"/>
      <c r="PWZ264" s="297"/>
      <c r="PXA264" s="297"/>
      <c r="PXB264" s="297"/>
      <c r="PXC264" s="297"/>
      <c r="PXD264" s="297"/>
      <c r="PXE264" s="297"/>
      <c r="PXF264" s="297"/>
      <c r="PXG264" s="297"/>
      <c r="PXH264" s="297"/>
      <c r="PXI264" s="297"/>
      <c r="PXJ264" s="297"/>
      <c r="PXK264" s="297"/>
      <c r="PXL264" s="297"/>
      <c r="PXM264" s="297"/>
      <c r="PXN264" s="297"/>
      <c r="PXO264" s="297"/>
      <c r="PXP264" s="297"/>
      <c r="PXQ264" s="297"/>
      <c r="PXR264" s="297"/>
      <c r="PXS264" s="297"/>
      <c r="PXT264" s="297"/>
      <c r="PXU264" s="297"/>
      <c r="PXV264" s="297"/>
      <c r="PXW264" s="297"/>
      <c r="PXX264" s="297"/>
      <c r="PXY264" s="297"/>
      <c r="PXZ264" s="297"/>
      <c r="PYA264" s="297"/>
      <c r="PYB264" s="297"/>
      <c r="PYC264" s="297"/>
      <c r="PYD264" s="297"/>
      <c r="PYE264" s="297"/>
      <c r="PYF264" s="297"/>
      <c r="PYG264" s="297"/>
      <c r="PYH264" s="297"/>
      <c r="PYI264" s="297"/>
      <c r="PYJ264" s="297"/>
      <c r="PYK264" s="297"/>
      <c r="PYL264" s="297"/>
      <c r="PYM264" s="297"/>
      <c r="PYN264" s="297"/>
      <c r="PYO264" s="297"/>
      <c r="PYP264" s="297"/>
      <c r="PYQ264" s="297"/>
      <c r="PYR264" s="297"/>
      <c r="PYS264" s="297"/>
      <c r="PYT264" s="297"/>
      <c r="PYU264" s="297"/>
      <c r="PYV264" s="297"/>
      <c r="PYW264" s="297"/>
      <c r="PYX264" s="297"/>
      <c r="PYY264" s="297"/>
      <c r="PYZ264" s="297"/>
      <c r="PZA264" s="297"/>
      <c r="PZB264" s="297"/>
      <c r="PZC264" s="297"/>
      <c r="PZD264" s="297"/>
      <c r="PZE264" s="297"/>
      <c r="PZF264" s="297"/>
      <c r="PZG264" s="297"/>
      <c r="PZH264" s="297"/>
      <c r="PZI264" s="297"/>
      <c r="PZJ264" s="297"/>
      <c r="PZK264" s="297"/>
      <c r="PZL264" s="297"/>
      <c r="PZM264" s="297"/>
      <c r="PZN264" s="297"/>
      <c r="PZO264" s="297"/>
      <c r="PZP264" s="297"/>
      <c r="PZQ264" s="297"/>
      <c r="PZR264" s="297"/>
      <c r="PZS264" s="297"/>
      <c r="PZT264" s="297"/>
      <c r="PZU264" s="297"/>
      <c r="PZV264" s="297"/>
      <c r="PZW264" s="297"/>
      <c r="PZX264" s="297"/>
      <c r="PZY264" s="297"/>
      <c r="PZZ264" s="297"/>
      <c r="QAA264" s="297"/>
      <c r="QAB264" s="297"/>
      <c r="QAC264" s="297"/>
      <c r="QAD264" s="297"/>
      <c r="QAE264" s="297"/>
      <c r="QAF264" s="297"/>
      <c r="QAG264" s="297"/>
      <c r="QAH264" s="297"/>
      <c r="QAI264" s="297"/>
      <c r="QAJ264" s="297"/>
      <c r="QAK264" s="297"/>
      <c r="QAL264" s="297"/>
      <c r="QAM264" s="297"/>
      <c r="QAN264" s="297"/>
      <c r="QAO264" s="297"/>
      <c r="QAP264" s="297"/>
      <c r="QAQ264" s="297"/>
      <c r="QAR264" s="297"/>
      <c r="QAS264" s="297"/>
      <c r="QAT264" s="297"/>
      <c r="QAU264" s="297"/>
      <c r="QAV264" s="297"/>
      <c r="QAW264" s="297"/>
      <c r="QAX264" s="297"/>
      <c r="QAY264" s="297"/>
      <c r="QAZ264" s="297"/>
      <c r="QBA264" s="297"/>
      <c r="QBB264" s="297"/>
      <c r="QBC264" s="297"/>
      <c r="QBD264" s="297"/>
      <c r="QBE264" s="297"/>
      <c r="QBF264" s="297"/>
      <c r="QBG264" s="297"/>
      <c r="QBH264" s="297"/>
      <c r="QBI264" s="297"/>
      <c r="QBJ264" s="297"/>
      <c r="QBK264" s="297"/>
      <c r="QBL264" s="297"/>
      <c r="QBM264" s="297"/>
      <c r="QBN264" s="297"/>
      <c r="QBO264" s="297"/>
      <c r="QBP264" s="297"/>
      <c r="QBQ264" s="297"/>
      <c r="QBR264" s="297"/>
      <c r="QBS264" s="297"/>
      <c r="QBT264" s="297"/>
      <c r="QBU264" s="297"/>
      <c r="QBV264" s="297"/>
      <c r="QBW264" s="297"/>
      <c r="QBX264" s="297"/>
      <c r="QBY264" s="297"/>
      <c r="QBZ264" s="297"/>
      <c r="QCA264" s="297"/>
      <c r="QCB264" s="297"/>
      <c r="QCC264" s="297"/>
      <c r="QCD264" s="297"/>
      <c r="QCE264" s="297"/>
      <c r="QCF264" s="297"/>
      <c r="QCG264" s="297"/>
      <c r="QCH264" s="297"/>
      <c r="QCI264" s="297"/>
      <c r="QCJ264" s="297"/>
      <c r="QCK264" s="297"/>
      <c r="QCL264" s="297"/>
      <c r="QCM264" s="297"/>
      <c r="QCN264" s="297"/>
      <c r="QCO264" s="297"/>
      <c r="QCP264" s="297"/>
      <c r="QCQ264" s="297"/>
      <c r="QCR264" s="297"/>
      <c r="QCS264" s="297"/>
      <c r="QCT264" s="297"/>
      <c r="QCU264" s="297"/>
      <c r="QCV264" s="297"/>
      <c r="QCW264" s="297"/>
      <c r="QCX264" s="297"/>
      <c r="QCY264" s="297"/>
      <c r="QCZ264" s="297"/>
      <c r="QDA264" s="297"/>
      <c r="QDB264" s="297"/>
      <c r="QDC264" s="297"/>
      <c r="QDD264" s="297"/>
      <c r="QDE264" s="297"/>
      <c r="QDF264" s="297"/>
      <c r="QDG264" s="297"/>
      <c r="QDH264" s="297"/>
      <c r="QDI264" s="297"/>
      <c r="QDJ264" s="297"/>
      <c r="QDK264" s="297"/>
      <c r="QDL264" s="297"/>
      <c r="QDM264" s="297"/>
      <c r="QDN264" s="297"/>
      <c r="QDO264" s="297"/>
      <c r="QDP264" s="297"/>
      <c r="QDQ264" s="297"/>
      <c r="QDR264" s="297"/>
      <c r="QDS264" s="297"/>
      <c r="QDT264" s="297"/>
      <c r="QDU264" s="297"/>
      <c r="QDV264" s="297"/>
      <c r="QDW264" s="297"/>
      <c r="QDX264" s="297"/>
      <c r="QDY264" s="297"/>
      <c r="QDZ264" s="297"/>
      <c r="QEA264" s="297"/>
      <c r="QEB264" s="297"/>
      <c r="QEC264" s="297"/>
      <c r="QED264" s="297"/>
      <c r="QEE264" s="297"/>
      <c r="QEF264" s="297"/>
      <c r="QEG264" s="297"/>
      <c r="QEH264" s="297"/>
      <c r="QEI264" s="297"/>
      <c r="QEJ264" s="297"/>
      <c r="QEK264" s="297"/>
      <c r="QEL264" s="297"/>
      <c r="QEM264" s="297"/>
      <c r="QEN264" s="297"/>
      <c r="QEO264" s="297"/>
      <c r="QEP264" s="297"/>
      <c r="QEQ264" s="297"/>
      <c r="QER264" s="297"/>
      <c r="QES264" s="297"/>
      <c r="QET264" s="297"/>
      <c r="QEU264" s="297"/>
      <c r="QEV264" s="297"/>
      <c r="QEW264" s="297"/>
      <c r="QEX264" s="297"/>
      <c r="QEY264" s="297"/>
      <c r="QEZ264" s="297"/>
      <c r="QFA264" s="297"/>
      <c r="QFB264" s="297"/>
      <c r="QFC264" s="297"/>
      <c r="QFD264" s="297"/>
      <c r="QFE264" s="297"/>
      <c r="QFF264" s="297"/>
      <c r="QFG264" s="297"/>
      <c r="QFH264" s="297"/>
      <c r="QFI264" s="297"/>
      <c r="QFJ264" s="297"/>
      <c r="QFK264" s="297"/>
      <c r="QFL264" s="297"/>
      <c r="QFM264" s="297"/>
      <c r="QFN264" s="297"/>
      <c r="QFO264" s="297"/>
      <c r="QFP264" s="297"/>
      <c r="QFQ264" s="297"/>
      <c r="QFR264" s="297"/>
      <c r="QFS264" s="297"/>
      <c r="QFT264" s="297"/>
      <c r="QFU264" s="297"/>
      <c r="QFV264" s="297"/>
      <c r="QFW264" s="297"/>
      <c r="QFX264" s="297"/>
      <c r="QFY264" s="297"/>
      <c r="QFZ264" s="297"/>
      <c r="QGA264" s="297"/>
      <c r="QGB264" s="297"/>
      <c r="QGC264" s="297"/>
      <c r="QGD264" s="297"/>
      <c r="QGE264" s="297"/>
      <c r="QGF264" s="297"/>
      <c r="QGG264" s="297"/>
      <c r="QGH264" s="297"/>
      <c r="QGI264" s="297"/>
      <c r="QGJ264" s="297"/>
      <c r="QGK264" s="297"/>
      <c r="QGL264" s="297"/>
      <c r="QGM264" s="297"/>
      <c r="QGN264" s="297"/>
      <c r="QGO264" s="297"/>
      <c r="QGP264" s="297"/>
      <c r="QGQ264" s="297"/>
      <c r="QGR264" s="297"/>
      <c r="QGS264" s="297"/>
      <c r="QGT264" s="297"/>
      <c r="QGU264" s="297"/>
      <c r="QGV264" s="297"/>
      <c r="QGW264" s="297"/>
      <c r="QGX264" s="297"/>
      <c r="QGY264" s="297"/>
      <c r="QGZ264" s="297"/>
      <c r="QHA264" s="297"/>
      <c r="QHB264" s="297"/>
      <c r="QHC264" s="297"/>
      <c r="QHD264" s="297"/>
      <c r="QHE264" s="297"/>
      <c r="QHF264" s="297"/>
      <c r="QHG264" s="297"/>
      <c r="QHH264" s="297"/>
      <c r="QHI264" s="297"/>
      <c r="QHJ264" s="297"/>
      <c r="QHK264" s="297"/>
      <c r="QHL264" s="297"/>
      <c r="QHM264" s="297"/>
      <c r="QHN264" s="297"/>
      <c r="QHO264" s="297"/>
      <c r="QHP264" s="297"/>
      <c r="QHQ264" s="297"/>
      <c r="QHR264" s="297"/>
      <c r="QHS264" s="297"/>
      <c r="QHT264" s="297"/>
      <c r="QHU264" s="297"/>
      <c r="QHV264" s="297"/>
      <c r="QHW264" s="297"/>
      <c r="QHX264" s="297"/>
      <c r="QHY264" s="297"/>
      <c r="QHZ264" s="297"/>
      <c r="QIA264" s="297"/>
      <c r="QIB264" s="297"/>
      <c r="QIC264" s="297"/>
      <c r="QID264" s="297"/>
      <c r="QIE264" s="297"/>
      <c r="QIF264" s="297"/>
      <c r="QIG264" s="297"/>
      <c r="QIH264" s="297"/>
      <c r="QII264" s="297"/>
      <c r="QIJ264" s="297"/>
      <c r="QIK264" s="297"/>
      <c r="QIL264" s="297"/>
      <c r="QIM264" s="297"/>
      <c r="QIN264" s="297"/>
      <c r="QIO264" s="297"/>
      <c r="QIP264" s="297"/>
      <c r="QIQ264" s="297"/>
      <c r="QIR264" s="297"/>
      <c r="QIS264" s="297"/>
      <c r="QIT264" s="297"/>
      <c r="QIU264" s="297"/>
      <c r="QIV264" s="297"/>
      <c r="QIW264" s="297"/>
      <c r="QIX264" s="297"/>
      <c r="QIY264" s="297"/>
      <c r="QIZ264" s="297"/>
      <c r="QJA264" s="297"/>
      <c r="QJB264" s="297"/>
      <c r="QJC264" s="297"/>
      <c r="QJD264" s="297"/>
      <c r="QJE264" s="297"/>
      <c r="QJF264" s="297"/>
      <c r="QJG264" s="297"/>
      <c r="QJH264" s="297"/>
      <c r="QJI264" s="297"/>
      <c r="QJJ264" s="297"/>
      <c r="QJK264" s="297"/>
      <c r="QJL264" s="297"/>
      <c r="QJM264" s="297"/>
      <c r="QJN264" s="297"/>
      <c r="QJO264" s="297"/>
      <c r="QJP264" s="297"/>
      <c r="QJQ264" s="297"/>
      <c r="QJR264" s="297"/>
      <c r="QJS264" s="297"/>
      <c r="QJT264" s="297"/>
      <c r="QJU264" s="297"/>
      <c r="QJV264" s="297"/>
      <c r="QJW264" s="297"/>
      <c r="QJX264" s="297"/>
      <c r="QJY264" s="297"/>
      <c r="QJZ264" s="297"/>
      <c r="QKA264" s="297"/>
      <c r="QKB264" s="297"/>
      <c r="QKC264" s="297"/>
      <c r="QKD264" s="297"/>
      <c r="QKE264" s="297"/>
      <c r="QKF264" s="297"/>
      <c r="QKG264" s="297"/>
      <c r="QKH264" s="297"/>
      <c r="QKI264" s="297"/>
      <c r="QKJ264" s="297"/>
      <c r="QKK264" s="297"/>
      <c r="QKL264" s="297"/>
      <c r="QKM264" s="297"/>
      <c r="QKN264" s="297"/>
      <c r="QKO264" s="297"/>
      <c r="QKP264" s="297"/>
      <c r="QKQ264" s="297"/>
      <c r="QKR264" s="297"/>
      <c r="QKS264" s="297"/>
      <c r="QKT264" s="297"/>
      <c r="QKU264" s="297"/>
      <c r="QKV264" s="297"/>
      <c r="QKW264" s="297"/>
      <c r="QKX264" s="297"/>
      <c r="QKY264" s="297"/>
      <c r="QKZ264" s="297"/>
      <c r="QLA264" s="297"/>
      <c r="QLB264" s="297"/>
      <c r="QLC264" s="297"/>
      <c r="QLD264" s="297"/>
      <c r="QLE264" s="297"/>
      <c r="QLF264" s="297"/>
      <c r="QLG264" s="297"/>
      <c r="QLH264" s="297"/>
      <c r="QLI264" s="297"/>
      <c r="QLJ264" s="297"/>
      <c r="QLK264" s="297"/>
      <c r="QLL264" s="297"/>
      <c r="QLM264" s="297"/>
      <c r="QLN264" s="297"/>
      <c r="QLO264" s="297"/>
      <c r="QLP264" s="297"/>
      <c r="QLQ264" s="297"/>
      <c r="QLR264" s="297"/>
      <c r="QLS264" s="297"/>
      <c r="QLT264" s="297"/>
      <c r="QLU264" s="297"/>
      <c r="QLV264" s="297"/>
      <c r="QLW264" s="297"/>
      <c r="QLX264" s="297"/>
      <c r="QLY264" s="297"/>
      <c r="QLZ264" s="297"/>
      <c r="QMA264" s="297"/>
      <c r="QMB264" s="297"/>
      <c r="QMC264" s="297"/>
      <c r="QMD264" s="297"/>
      <c r="QME264" s="297"/>
      <c r="QMF264" s="297"/>
      <c r="QMG264" s="297"/>
      <c r="QMH264" s="297"/>
      <c r="QMI264" s="297"/>
      <c r="QMJ264" s="297"/>
      <c r="QMK264" s="297"/>
      <c r="QML264" s="297"/>
      <c r="QMM264" s="297"/>
      <c r="QMN264" s="297"/>
      <c r="QMO264" s="297"/>
      <c r="QMP264" s="297"/>
      <c r="QMQ264" s="297"/>
      <c r="QMR264" s="297"/>
      <c r="QMS264" s="297"/>
      <c r="QMT264" s="297"/>
      <c r="QMU264" s="297"/>
      <c r="QMV264" s="297"/>
      <c r="QMW264" s="297"/>
      <c r="QMX264" s="297"/>
      <c r="QMY264" s="297"/>
      <c r="QMZ264" s="297"/>
      <c r="QNA264" s="297"/>
      <c r="QNB264" s="297"/>
      <c r="QNC264" s="297"/>
      <c r="QND264" s="297"/>
      <c r="QNE264" s="297"/>
      <c r="QNF264" s="297"/>
      <c r="QNG264" s="297"/>
      <c r="QNH264" s="297"/>
      <c r="QNI264" s="297"/>
      <c r="QNJ264" s="297"/>
      <c r="QNK264" s="297"/>
      <c r="QNL264" s="297"/>
      <c r="QNM264" s="297"/>
      <c r="QNN264" s="297"/>
      <c r="QNO264" s="297"/>
      <c r="QNP264" s="297"/>
      <c r="QNQ264" s="297"/>
      <c r="QNR264" s="297"/>
      <c r="QNS264" s="297"/>
      <c r="QNT264" s="297"/>
      <c r="QNU264" s="297"/>
      <c r="QNV264" s="297"/>
      <c r="QNW264" s="297"/>
      <c r="QNX264" s="297"/>
      <c r="QNY264" s="297"/>
      <c r="QNZ264" s="297"/>
      <c r="QOA264" s="297"/>
      <c r="QOB264" s="297"/>
      <c r="QOC264" s="297"/>
      <c r="QOD264" s="297"/>
      <c r="QOE264" s="297"/>
      <c r="QOF264" s="297"/>
      <c r="QOG264" s="297"/>
      <c r="QOH264" s="297"/>
      <c r="QOI264" s="297"/>
      <c r="QOJ264" s="297"/>
      <c r="QOK264" s="297"/>
      <c r="QOL264" s="297"/>
      <c r="QOM264" s="297"/>
      <c r="QON264" s="297"/>
      <c r="QOO264" s="297"/>
      <c r="QOP264" s="297"/>
      <c r="QOQ264" s="297"/>
      <c r="QOR264" s="297"/>
      <c r="QOS264" s="297"/>
      <c r="QOT264" s="297"/>
      <c r="QOU264" s="297"/>
      <c r="QOV264" s="297"/>
      <c r="QOW264" s="297"/>
      <c r="QOX264" s="297"/>
      <c r="QOY264" s="297"/>
      <c r="QOZ264" s="297"/>
      <c r="QPA264" s="297"/>
      <c r="QPB264" s="297"/>
      <c r="QPC264" s="297"/>
      <c r="QPD264" s="297"/>
      <c r="QPE264" s="297"/>
      <c r="QPF264" s="297"/>
      <c r="QPG264" s="297"/>
      <c r="QPH264" s="297"/>
      <c r="QPI264" s="297"/>
      <c r="QPJ264" s="297"/>
      <c r="QPK264" s="297"/>
      <c r="QPL264" s="297"/>
      <c r="QPM264" s="297"/>
      <c r="QPN264" s="297"/>
      <c r="QPO264" s="297"/>
      <c r="QPP264" s="297"/>
      <c r="QPQ264" s="297"/>
      <c r="QPR264" s="297"/>
      <c r="QPS264" s="297"/>
      <c r="QPT264" s="297"/>
      <c r="QPU264" s="297"/>
      <c r="QPV264" s="297"/>
      <c r="QPW264" s="297"/>
      <c r="QPX264" s="297"/>
      <c r="QPY264" s="297"/>
      <c r="QPZ264" s="297"/>
      <c r="QQA264" s="297"/>
      <c r="QQB264" s="297"/>
      <c r="QQC264" s="297"/>
      <c r="QQD264" s="297"/>
      <c r="QQE264" s="297"/>
      <c r="QQF264" s="297"/>
      <c r="QQG264" s="297"/>
      <c r="QQH264" s="297"/>
      <c r="QQI264" s="297"/>
      <c r="QQJ264" s="297"/>
      <c r="QQK264" s="297"/>
      <c r="QQL264" s="297"/>
      <c r="QQM264" s="297"/>
      <c r="QQN264" s="297"/>
      <c r="QQO264" s="297"/>
      <c r="QQP264" s="297"/>
      <c r="QQQ264" s="297"/>
      <c r="QQR264" s="297"/>
      <c r="QQS264" s="297"/>
      <c r="QQT264" s="297"/>
      <c r="QQU264" s="297"/>
      <c r="QQV264" s="297"/>
      <c r="QQW264" s="297"/>
      <c r="QQX264" s="297"/>
      <c r="QQY264" s="297"/>
      <c r="QQZ264" s="297"/>
      <c r="QRA264" s="297"/>
      <c r="QRB264" s="297"/>
      <c r="QRC264" s="297"/>
      <c r="QRD264" s="297"/>
      <c r="QRE264" s="297"/>
      <c r="QRF264" s="297"/>
      <c r="QRG264" s="297"/>
      <c r="QRH264" s="297"/>
      <c r="QRI264" s="297"/>
      <c r="QRJ264" s="297"/>
      <c r="QRK264" s="297"/>
      <c r="QRL264" s="297"/>
      <c r="QRM264" s="297"/>
      <c r="QRN264" s="297"/>
      <c r="QRO264" s="297"/>
      <c r="QRP264" s="297"/>
      <c r="QRQ264" s="297"/>
      <c r="QRR264" s="297"/>
      <c r="QRS264" s="297"/>
      <c r="QRT264" s="297"/>
      <c r="QRU264" s="297"/>
      <c r="QRV264" s="297"/>
      <c r="QRW264" s="297"/>
      <c r="QRX264" s="297"/>
      <c r="QRY264" s="297"/>
      <c r="QRZ264" s="297"/>
      <c r="QSA264" s="297"/>
      <c r="QSB264" s="297"/>
      <c r="QSC264" s="297"/>
      <c r="QSD264" s="297"/>
      <c r="QSE264" s="297"/>
      <c r="QSF264" s="297"/>
      <c r="QSG264" s="297"/>
      <c r="QSH264" s="297"/>
      <c r="QSI264" s="297"/>
      <c r="QSJ264" s="297"/>
      <c r="QSK264" s="297"/>
      <c r="QSL264" s="297"/>
      <c r="QSM264" s="297"/>
      <c r="QSN264" s="297"/>
      <c r="QSO264" s="297"/>
      <c r="QSP264" s="297"/>
      <c r="QSQ264" s="297"/>
      <c r="QSR264" s="297"/>
      <c r="QSS264" s="297"/>
      <c r="QST264" s="297"/>
      <c r="QSU264" s="297"/>
      <c r="QSV264" s="297"/>
      <c r="QSW264" s="297"/>
      <c r="QSX264" s="297"/>
      <c r="QSY264" s="297"/>
      <c r="QSZ264" s="297"/>
      <c r="QTA264" s="297"/>
      <c r="QTB264" s="297"/>
      <c r="QTC264" s="297"/>
      <c r="QTD264" s="297"/>
      <c r="QTE264" s="297"/>
      <c r="QTF264" s="297"/>
      <c r="QTG264" s="297"/>
      <c r="QTH264" s="297"/>
      <c r="QTI264" s="297"/>
      <c r="QTJ264" s="297"/>
      <c r="QTK264" s="297"/>
      <c r="QTL264" s="297"/>
      <c r="QTM264" s="297"/>
      <c r="QTN264" s="297"/>
      <c r="QTO264" s="297"/>
      <c r="QTP264" s="297"/>
      <c r="QTQ264" s="297"/>
      <c r="QTR264" s="297"/>
      <c r="QTS264" s="297"/>
      <c r="QTT264" s="297"/>
      <c r="QTU264" s="297"/>
      <c r="QTV264" s="297"/>
      <c r="QTW264" s="297"/>
      <c r="QTX264" s="297"/>
      <c r="QTY264" s="297"/>
      <c r="QTZ264" s="297"/>
      <c r="QUA264" s="297"/>
      <c r="QUB264" s="297"/>
      <c r="QUC264" s="297"/>
      <c r="QUD264" s="297"/>
      <c r="QUE264" s="297"/>
      <c r="QUF264" s="297"/>
      <c r="QUG264" s="297"/>
      <c r="QUH264" s="297"/>
      <c r="QUI264" s="297"/>
      <c r="QUJ264" s="297"/>
      <c r="QUK264" s="297"/>
      <c r="QUL264" s="297"/>
      <c r="QUM264" s="297"/>
      <c r="QUN264" s="297"/>
      <c r="QUO264" s="297"/>
      <c r="QUP264" s="297"/>
      <c r="QUQ264" s="297"/>
      <c r="QUR264" s="297"/>
      <c r="QUS264" s="297"/>
      <c r="QUT264" s="297"/>
      <c r="QUU264" s="297"/>
      <c r="QUV264" s="297"/>
      <c r="QUW264" s="297"/>
      <c r="QUX264" s="297"/>
      <c r="QUY264" s="297"/>
      <c r="QUZ264" s="297"/>
      <c r="QVA264" s="297"/>
      <c r="QVB264" s="297"/>
      <c r="QVC264" s="297"/>
      <c r="QVD264" s="297"/>
      <c r="QVE264" s="297"/>
      <c r="QVF264" s="297"/>
      <c r="QVG264" s="297"/>
      <c r="QVH264" s="297"/>
      <c r="QVI264" s="297"/>
      <c r="QVJ264" s="297"/>
      <c r="QVK264" s="297"/>
      <c r="QVL264" s="297"/>
      <c r="QVM264" s="297"/>
      <c r="QVN264" s="297"/>
      <c r="QVO264" s="297"/>
      <c r="QVP264" s="297"/>
      <c r="QVQ264" s="297"/>
      <c r="QVR264" s="297"/>
      <c r="QVS264" s="297"/>
      <c r="QVT264" s="297"/>
      <c r="QVU264" s="297"/>
      <c r="QVV264" s="297"/>
      <c r="QVW264" s="297"/>
      <c r="QVX264" s="297"/>
      <c r="QVY264" s="297"/>
      <c r="QVZ264" s="297"/>
      <c r="QWA264" s="297"/>
      <c r="QWB264" s="297"/>
      <c r="QWC264" s="297"/>
      <c r="QWD264" s="297"/>
      <c r="QWE264" s="297"/>
      <c r="QWF264" s="297"/>
      <c r="QWG264" s="297"/>
      <c r="QWH264" s="297"/>
      <c r="QWI264" s="297"/>
      <c r="QWJ264" s="297"/>
      <c r="QWK264" s="297"/>
      <c r="QWL264" s="297"/>
      <c r="QWM264" s="297"/>
      <c r="QWN264" s="297"/>
      <c r="QWO264" s="297"/>
      <c r="QWP264" s="297"/>
      <c r="QWQ264" s="297"/>
      <c r="QWR264" s="297"/>
      <c r="QWS264" s="297"/>
      <c r="QWT264" s="297"/>
      <c r="QWU264" s="297"/>
      <c r="QWV264" s="297"/>
      <c r="QWW264" s="297"/>
      <c r="QWX264" s="297"/>
      <c r="QWY264" s="297"/>
      <c r="QWZ264" s="297"/>
      <c r="QXA264" s="297"/>
      <c r="QXB264" s="297"/>
      <c r="QXC264" s="297"/>
      <c r="QXD264" s="297"/>
      <c r="QXE264" s="297"/>
      <c r="QXF264" s="297"/>
      <c r="QXG264" s="297"/>
      <c r="QXH264" s="297"/>
      <c r="QXI264" s="297"/>
      <c r="QXJ264" s="297"/>
      <c r="QXK264" s="297"/>
      <c r="QXL264" s="297"/>
      <c r="QXM264" s="297"/>
      <c r="QXN264" s="297"/>
      <c r="QXO264" s="297"/>
      <c r="QXP264" s="297"/>
      <c r="QXQ264" s="297"/>
      <c r="QXR264" s="297"/>
      <c r="QXS264" s="297"/>
      <c r="QXT264" s="297"/>
      <c r="QXU264" s="297"/>
      <c r="QXV264" s="297"/>
      <c r="QXW264" s="297"/>
      <c r="QXX264" s="297"/>
      <c r="QXY264" s="297"/>
      <c r="QXZ264" s="297"/>
      <c r="QYA264" s="297"/>
      <c r="QYB264" s="297"/>
      <c r="QYC264" s="297"/>
      <c r="QYD264" s="297"/>
      <c r="QYE264" s="297"/>
      <c r="QYF264" s="297"/>
      <c r="QYG264" s="297"/>
      <c r="QYH264" s="297"/>
      <c r="QYI264" s="297"/>
      <c r="QYJ264" s="297"/>
      <c r="QYK264" s="297"/>
      <c r="QYL264" s="297"/>
      <c r="QYM264" s="297"/>
      <c r="QYN264" s="297"/>
      <c r="QYO264" s="297"/>
      <c r="QYP264" s="297"/>
      <c r="QYQ264" s="297"/>
      <c r="QYR264" s="297"/>
      <c r="QYS264" s="297"/>
      <c r="QYT264" s="297"/>
      <c r="QYU264" s="297"/>
      <c r="QYV264" s="297"/>
      <c r="QYW264" s="297"/>
      <c r="QYX264" s="297"/>
      <c r="QYY264" s="297"/>
      <c r="QYZ264" s="297"/>
      <c r="QZA264" s="297"/>
      <c r="QZB264" s="297"/>
      <c r="QZC264" s="297"/>
      <c r="QZD264" s="297"/>
      <c r="QZE264" s="297"/>
      <c r="QZF264" s="297"/>
      <c r="QZG264" s="297"/>
      <c r="QZH264" s="297"/>
      <c r="QZI264" s="297"/>
      <c r="QZJ264" s="297"/>
      <c r="QZK264" s="297"/>
      <c r="QZL264" s="297"/>
      <c r="QZM264" s="297"/>
      <c r="QZN264" s="297"/>
      <c r="QZO264" s="297"/>
      <c r="QZP264" s="297"/>
      <c r="QZQ264" s="297"/>
      <c r="QZR264" s="297"/>
      <c r="QZS264" s="297"/>
      <c r="QZT264" s="297"/>
      <c r="QZU264" s="297"/>
      <c r="QZV264" s="297"/>
      <c r="QZW264" s="297"/>
      <c r="QZX264" s="297"/>
      <c r="QZY264" s="297"/>
      <c r="QZZ264" s="297"/>
      <c r="RAA264" s="297"/>
      <c r="RAB264" s="297"/>
      <c r="RAC264" s="297"/>
      <c r="RAD264" s="297"/>
      <c r="RAE264" s="297"/>
      <c r="RAF264" s="297"/>
      <c r="RAG264" s="297"/>
      <c r="RAH264" s="297"/>
      <c r="RAI264" s="297"/>
      <c r="RAJ264" s="297"/>
      <c r="RAK264" s="297"/>
      <c r="RAL264" s="297"/>
      <c r="RAM264" s="297"/>
      <c r="RAN264" s="297"/>
      <c r="RAO264" s="297"/>
      <c r="RAP264" s="297"/>
      <c r="RAQ264" s="297"/>
      <c r="RAR264" s="297"/>
      <c r="RAS264" s="297"/>
      <c r="RAT264" s="297"/>
      <c r="RAU264" s="297"/>
      <c r="RAV264" s="297"/>
      <c r="RAW264" s="297"/>
      <c r="RAX264" s="297"/>
      <c r="RAY264" s="297"/>
      <c r="RAZ264" s="297"/>
      <c r="RBA264" s="297"/>
      <c r="RBB264" s="297"/>
      <c r="RBC264" s="297"/>
      <c r="RBD264" s="297"/>
      <c r="RBE264" s="297"/>
      <c r="RBF264" s="297"/>
      <c r="RBG264" s="297"/>
      <c r="RBH264" s="297"/>
      <c r="RBI264" s="297"/>
      <c r="RBJ264" s="297"/>
      <c r="RBK264" s="297"/>
      <c r="RBL264" s="297"/>
      <c r="RBM264" s="297"/>
      <c r="RBN264" s="297"/>
      <c r="RBO264" s="297"/>
      <c r="RBP264" s="297"/>
      <c r="RBQ264" s="297"/>
      <c r="RBR264" s="297"/>
      <c r="RBS264" s="297"/>
      <c r="RBT264" s="297"/>
      <c r="RBU264" s="297"/>
      <c r="RBV264" s="297"/>
      <c r="RBW264" s="297"/>
      <c r="RBX264" s="297"/>
      <c r="RBY264" s="297"/>
      <c r="RBZ264" s="297"/>
      <c r="RCA264" s="297"/>
      <c r="RCB264" s="297"/>
      <c r="RCC264" s="297"/>
      <c r="RCD264" s="297"/>
      <c r="RCE264" s="297"/>
      <c r="RCF264" s="297"/>
      <c r="RCG264" s="297"/>
      <c r="RCH264" s="297"/>
      <c r="RCI264" s="297"/>
      <c r="RCJ264" s="297"/>
      <c r="RCK264" s="297"/>
      <c r="RCL264" s="297"/>
      <c r="RCM264" s="297"/>
      <c r="RCN264" s="297"/>
      <c r="RCO264" s="297"/>
      <c r="RCP264" s="297"/>
      <c r="RCQ264" s="297"/>
      <c r="RCR264" s="297"/>
      <c r="RCS264" s="297"/>
      <c r="RCT264" s="297"/>
      <c r="RCU264" s="297"/>
      <c r="RCV264" s="297"/>
      <c r="RCW264" s="297"/>
      <c r="RCX264" s="297"/>
      <c r="RCY264" s="297"/>
      <c r="RCZ264" s="297"/>
      <c r="RDA264" s="297"/>
      <c r="RDB264" s="297"/>
      <c r="RDC264" s="297"/>
      <c r="RDD264" s="297"/>
      <c r="RDE264" s="297"/>
      <c r="RDF264" s="297"/>
      <c r="RDG264" s="297"/>
      <c r="RDH264" s="297"/>
      <c r="RDI264" s="297"/>
      <c r="RDJ264" s="297"/>
      <c r="RDK264" s="297"/>
      <c r="RDL264" s="297"/>
      <c r="RDM264" s="297"/>
      <c r="RDN264" s="297"/>
      <c r="RDO264" s="297"/>
      <c r="RDP264" s="297"/>
      <c r="RDQ264" s="297"/>
      <c r="RDR264" s="297"/>
      <c r="RDS264" s="297"/>
      <c r="RDT264" s="297"/>
      <c r="RDU264" s="297"/>
      <c r="RDV264" s="297"/>
      <c r="RDW264" s="297"/>
      <c r="RDX264" s="297"/>
      <c r="RDY264" s="297"/>
      <c r="RDZ264" s="297"/>
      <c r="REA264" s="297"/>
      <c r="REB264" s="297"/>
      <c r="REC264" s="297"/>
      <c r="RED264" s="297"/>
      <c r="REE264" s="297"/>
      <c r="REF264" s="297"/>
      <c r="REG264" s="297"/>
      <c r="REH264" s="297"/>
      <c r="REI264" s="297"/>
      <c r="REJ264" s="297"/>
      <c r="REK264" s="297"/>
      <c r="REL264" s="297"/>
      <c r="REM264" s="297"/>
      <c r="REN264" s="297"/>
      <c r="REO264" s="297"/>
      <c r="REP264" s="297"/>
      <c r="REQ264" s="297"/>
      <c r="RER264" s="297"/>
      <c r="RES264" s="297"/>
      <c r="RET264" s="297"/>
      <c r="REU264" s="297"/>
      <c r="REV264" s="297"/>
      <c r="REW264" s="297"/>
      <c r="REX264" s="297"/>
      <c r="REY264" s="297"/>
      <c r="REZ264" s="297"/>
      <c r="RFA264" s="297"/>
      <c r="RFB264" s="297"/>
      <c r="RFC264" s="297"/>
      <c r="RFD264" s="297"/>
      <c r="RFE264" s="297"/>
      <c r="RFF264" s="297"/>
      <c r="RFG264" s="297"/>
      <c r="RFH264" s="297"/>
      <c r="RFI264" s="297"/>
      <c r="RFJ264" s="297"/>
      <c r="RFK264" s="297"/>
      <c r="RFL264" s="297"/>
      <c r="RFM264" s="297"/>
      <c r="RFN264" s="297"/>
      <c r="RFO264" s="297"/>
      <c r="RFP264" s="297"/>
      <c r="RFQ264" s="297"/>
      <c r="RFR264" s="297"/>
      <c r="RFS264" s="297"/>
      <c r="RFT264" s="297"/>
      <c r="RFU264" s="297"/>
      <c r="RFV264" s="297"/>
      <c r="RFW264" s="297"/>
      <c r="RFX264" s="297"/>
      <c r="RFY264" s="297"/>
      <c r="RFZ264" s="297"/>
      <c r="RGA264" s="297"/>
      <c r="RGB264" s="297"/>
      <c r="RGC264" s="297"/>
      <c r="RGD264" s="297"/>
      <c r="RGE264" s="297"/>
      <c r="RGF264" s="297"/>
      <c r="RGG264" s="297"/>
      <c r="RGH264" s="297"/>
      <c r="RGI264" s="297"/>
      <c r="RGJ264" s="297"/>
      <c r="RGK264" s="297"/>
      <c r="RGL264" s="297"/>
      <c r="RGM264" s="297"/>
      <c r="RGN264" s="297"/>
      <c r="RGO264" s="297"/>
      <c r="RGP264" s="297"/>
      <c r="RGQ264" s="297"/>
      <c r="RGR264" s="297"/>
      <c r="RGS264" s="297"/>
      <c r="RGT264" s="297"/>
      <c r="RGU264" s="297"/>
      <c r="RGV264" s="297"/>
      <c r="RGW264" s="297"/>
      <c r="RGX264" s="297"/>
      <c r="RGY264" s="297"/>
      <c r="RGZ264" s="297"/>
      <c r="RHA264" s="297"/>
      <c r="RHB264" s="297"/>
      <c r="RHC264" s="297"/>
      <c r="RHD264" s="297"/>
      <c r="RHE264" s="297"/>
      <c r="RHF264" s="297"/>
      <c r="RHG264" s="297"/>
      <c r="RHH264" s="297"/>
      <c r="RHI264" s="297"/>
      <c r="RHJ264" s="297"/>
      <c r="RHK264" s="297"/>
      <c r="RHL264" s="297"/>
      <c r="RHM264" s="297"/>
      <c r="RHN264" s="297"/>
      <c r="RHO264" s="297"/>
      <c r="RHP264" s="297"/>
      <c r="RHQ264" s="297"/>
      <c r="RHR264" s="297"/>
      <c r="RHS264" s="297"/>
      <c r="RHT264" s="297"/>
      <c r="RHU264" s="297"/>
      <c r="RHV264" s="297"/>
      <c r="RHW264" s="297"/>
      <c r="RHX264" s="297"/>
      <c r="RHY264" s="297"/>
      <c r="RHZ264" s="297"/>
      <c r="RIA264" s="297"/>
      <c r="RIB264" s="297"/>
      <c r="RIC264" s="297"/>
      <c r="RID264" s="297"/>
      <c r="RIE264" s="297"/>
      <c r="RIF264" s="297"/>
      <c r="RIG264" s="297"/>
      <c r="RIH264" s="297"/>
      <c r="RII264" s="297"/>
      <c r="RIJ264" s="297"/>
      <c r="RIK264" s="297"/>
      <c r="RIL264" s="297"/>
      <c r="RIM264" s="297"/>
      <c r="RIN264" s="297"/>
      <c r="RIO264" s="297"/>
      <c r="RIP264" s="297"/>
      <c r="RIQ264" s="297"/>
      <c r="RIR264" s="297"/>
      <c r="RIS264" s="297"/>
      <c r="RIT264" s="297"/>
      <c r="RIU264" s="297"/>
      <c r="RIV264" s="297"/>
      <c r="RIW264" s="297"/>
      <c r="RIX264" s="297"/>
      <c r="RIY264" s="297"/>
      <c r="RIZ264" s="297"/>
      <c r="RJA264" s="297"/>
      <c r="RJB264" s="297"/>
      <c r="RJC264" s="297"/>
      <c r="RJD264" s="297"/>
      <c r="RJE264" s="297"/>
      <c r="RJF264" s="297"/>
      <c r="RJG264" s="297"/>
      <c r="RJH264" s="297"/>
      <c r="RJI264" s="297"/>
      <c r="RJJ264" s="297"/>
      <c r="RJK264" s="297"/>
      <c r="RJL264" s="297"/>
      <c r="RJM264" s="297"/>
      <c r="RJN264" s="297"/>
      <c r="RJO264" s="297"/>
      <c r="RJP264" s="297"/>
      <c r="RJQ264" s="297"/>
      <c r="RJR264" s="297"/>
      <c r="RJS264" s="297"/>
      <c r="RJT264" s="297"/>
      <c r="RJU264" s="297"/>
      <c r="RJV264" s="297"/>
      <c r="RJW264" s="297"/>
      <c r="RJX264" s="297"/>
      <c r="RJY264" s="297"/>
      <c r="RJZ264" s="297"/>
      <c r="RKA264" s="297"/>
      <c r="RKB264" s="297"/>
      <c r="RKC264" s="297"/>
      <c r="RKD264" s="297"/>
      <c r="RKE264" s="297"/>
      <c r="RKF264" s="297"/>
      <c r="RKG264" s="297"/>
      <c r="RKH264" s="297"/>
      <c r="RKI264" s="297"/>
      <c r="RKJ264" s="297"/>
      <c r="RKK264" s="297"/>
      <c r="RKL264" s="297"/>
      <c r="RKM264" s="297"/>
      <c r="RKN264" s="297"/>
      <c r="RKO264" s="297"/>
      <c r="RKP264" s="297"/>
      <c r="RKQ264" s="297"/>
      <c r="RKR264" s="297"/>
      <c r="RKS264" s="297"/>
      <c r="RKT264" s="297"/>
      <c r="RKU264" s="297"/>
      <c r="RKV264" s="297"/>
      <c r="RKW264" s="297"/>
      <c r="RKX264" s="297"/>
      <c r="RKY264" s="297"/>
      <c r="RKZ264" s="297"/>
      <c r="RLA264" s="297"/>
      <c r="RLB264" s="297"/>
      <c r="RLC264" s="297"/>
      <c r="RLD264" s="297"/>
      <c r="RLE264" s="297"/>
      <c r="RLF264" s="297"/>
      <c r="RLG264" s="297"/>
      <c r="RLH264" s="297"/>
      <c r="RLI264" s="297"/>
      <c r="RLJ264" s="297"/>
      <c r="RLK264" s="297"/>
      <c r="RLL264" s="297"/>
      <c r="RLM264" s="297"/>
      <c r="RLN264" s="297"/>
      <c r="RLO264" s="297"/>
      <c r="RLP264" s="297"/>
      <c r="RLQ264" s="297"/>
      <c r="RLR264" s="297"/>
      <c r="RLS264" s="297"/>
      <c r="RLT264" s="297"/>
      <c r="RLU264" s="297"/>
      <c r="RLV264" s="297"/>
      <c r="RLW264" s="297"/>
      <c r="RLX264" s="297"/>
      <c r="RLY264" s="297"/>
      <c r="RLZ264" s="297"/>
      <c r="RMA264" s="297"/>
      <c r="RMB264" s="297"/>
      <c r="RMC264" s="297"/>
      <c r="RMD264" s="297"/>
      <c r="RME264" s="297"/>
      <c r="RMF264" s="297"/>
      <c r="RMG264" s="297"/>
      <c r="RMH264" s="297"/>
      <c r="RMI264" s="297"/>
      <c r="RMJ264" s="297"/>
      <c r="RMK264" s="297"/>
      <c r="RML264" s="297"/>
      <c r="RMM264" s="297"/>
      <c r="RMN264" s="297"/>
      <c r="RMO264" s="297"/>
      <c r="RMP264" s="297"/>
      <c r="RMQ264" s="297"/>
      <c r="RMR264" s="297"/>
      <c r="RMS264" s="297"/>
      <c r="RMT264" s="297"/>
      <c r="RMU264" s="297"/>
      <c r="RMV264" s="297"/>
      <c r="RMW264" s="297"/>
      <c r="RMX264" s="297"/>
      <c r="RMY264" s="297"/>
      <c r="RMZ264" s="297"/>
      <c r="RNA264" s="297"/>
      <c r="RNB264" s="297"/>
      <c r="RNC264" s="297"/>
      <c r="RND264" s="297"/>
      <c r="RNE264" s="297"/>
      <c r="RNF264" s="297"/>
      <c r="RNG264" s="297"/>
      <c r="RNH264" s="297"/>
      <c r="RNI264" s="297"/>
      <c r="RNJ264" s="297"/>
      <c r="RNK264" s="297"/>
      <c r="RNL264" s="297"/>
      <c r="RNM264" s="297"/>
      <c r="RNN264" s="297"/>
      <c r="RNO264" s="297"/>
      <c r="RNP264" s="297"/>
      <c r="RNQ264" s="297"/>
      <c r="RNR264" s="297"/>
      <c r="RNS264" s="297"/>
      <c r="RNT264" s="297"/>
      <c r="RNU264" s="297"/>
      <c r="RNV264" s="297"/>
      <c r="RNW264" s="297"/>
      <c r="RNX264" s="297"/>
      <c r="RNY264" s="297"/>
      <c r="RNZ264" s="297"/>
      <c r="ROA264" s="297"/>
      <c r="ROB264" s="297"/>
      <c r="ROC264" s="297"/>
      <c r="ROD264" s="297"/>
      <c r="ROE264" s="297"/>
      <c r="ROF264" s="297"/>
      <c r="ROG264" s="297"/>
      <c r="ROH264" s="297"/>
      <c r="ROI264" s="297"/>
      <c r="ROJ264" s="297"/>
      <c r="ROK264" s="297"/>
      <c r="ROL264" s="297"/>
      <c r="ROM264" s="297"/>
      <c r="RON264" s="297"/>
      <c r="ROO264" s="297"/>
      <c r="ROP264" s="297"/>
      <c r="ROQ264" s="297"/>
      <c r="ROR264" s="297"/>
      <c r="ROS264" s="297"/>
      <c r="ROT264" s="297"/>
      <c r="ROU264" s="297"/>
      <c r="ROV264" s="297"/>
      <c r="ROW264" s="297"/>
      <c r="ROX264" s="297"/>
      <c r="ROY264" s="297"/>
      <c r="ROZ264" s="297"/>
      <c r="RPA264" s="297"/>
      <c r="RPB264" s="297"/>
      <c r="RPC264" s="297"/>
      <c r="RPD264" s="297"/>
      <c r="RPE264" s="297"/>
      <c r="RPF264" s="297"/>
      <c r="RPG264" s="297"/>
      <c r="RPH264" s="297"/>
      <c r="RPI264" s="297"/>
      <c r="RPJ264" s="297"/>
      <c r="RPK264" s="297"/>
      <c r="RPL264" s="297"/>
      <c r="RPM264" s="297"/>
      <c r="RPN264" s="297"/>
      <c r="RPO264" s="297"/>
      <c r="RPP264" s="297"/>
      <c r="RPQ264" s="297"/>
      <c r="RPR264" s="297"/>
      <c r="RPS264" s="297"/>
      <c r="RPT264" s="297"/>
      <c r="RPU264" s="297"/>
      <c r="RPV264" s="297"/>
      <c r="RPW264" s="297"/>
      <c r="RPX264" s="297"/>
      <c r="RPY264" s="297"/>
      <c r="RPZ264" s="297"/>
      <c r="RQA264" s="297"/>
      <c r="RQB264" s="297"/>
      <c r="RQC264" s="297"/>
      <c r="RQD264" s="297"/>
      <c r="RQE264" s="297"/>
      <c r="RQF264" s="297"/>
      <c r="RQG264" s="297"/>
      <c r="RQH264" s="297"/>
      <c r="RQI264" s="297"/>
      <c r="RQJ264" s="297"/>
      <c r="RQK264" s="297"/>
      <c r="RQL264" s="297"/>
      <c r="RQM264" s="297"/>
      <c r="RQN264" s="297"/>
      <c r="RQO264" s="297"/>
      <c r="RQP264" s="297"/>
      <c r="RQQ264" s="297"/>
      <c r="RQR264" s="297"/>
      <c r="RQS264" s="297"/>
      <c r="RQT264" s="297"/>
      <c r="RQU264" s="297"/>
      <c r="RQV264" s="297"/>
      <c r="RQW264" s="297"/>
      <c r="RQX264" s="297"/>
      <c r="RQY264" s="297"/>
      <c r="RQZ264" s="297"/>
      <c r="RRA264" s="297"/>
      <c r="RRB264" s="297"/>
      <c r="RRC264" s="297"/>
      <c r="RRD264" s="297"/>
      <c r="RRE264" s="297"/>
      <c r="RRF264" s="297"/>
      <c r="RRG264" s="297"/>
      <c r="RRH264" s="297"/>
      <c r="RRI264" s="297"/>
      <c r="RRJ264" s="297"/>
      <c r="RRK264" s="297"/>
      <c r="RRL264" s="297"/>
      <c r="RRM264" s="297"/>
      <c r="RRN264" s="297"/>
      <c r="RRO264" s="297"/>
      <c r="RRP264" s="297"/>
      <c r="RRQ264" s="297"/>
      <c r="RRR264" s="297"/>
      <c r="RRS264" s="297"/>
      <c r="RRT264" s="297"/>
      <c r="RRU264" s="297"/>
      <c r="RRV264" s="297"/>
      <c r="RRW264" s="297"/>
      <c r="RRX264" s="297"/>
      <c r="RRY264" s="297"/>
      <c r="RRZ264" s="297"/>
      <c r="RSA264" s="297"/>
      <c r="RSB264" s="297"/>
      <c r="RSC264" s="297"/>
      <c r="RSD264" s="297"/>
      <c r="RSE264" s="297"/>
      <c r="RSF264" s="297"/>
      <c r="RSG264" s="297"/>
      <c r="RSH264" s="297"/>
      <c r="RSI264" s="297"/>
      <c r="RSJ264" s="297"/>
      <c r="RSK264" s="297"/>
      <c r="RSL264" s="297"/>
      <c r="RSM264" s="297"/>
      <c r="RSN264" s="297"/>
      <c r="RSO264" s="297"/>
      <c r="RSP264" s="297"/>
      <c r="RSQ264" s="297"/>
      <c r="RSR264" s="297"/>
      <c r="RSS264" s="297"/>
      <c r="RST264" s="297"/>
      <c r="RSU264" s="297"/>
      <c r="RSV264" s="297"/>
      <c r="RSW264" s="297"/>
      <c r="RSX264" s="297"/>
      <c r="RSY264" s="297"/>
      <c r="RSZ264" s="297"/>
      <c r="RTA264" s="297"/>
      <c r="RTB264" s="297"/>
      <c r="RTC264" s="297"/>
      <c r="RTD264" s="297"/>
      <c r="RTE264" s="297"/>
      <c r="RTF264" s="297"/>
      <c r="RTG264" s="297"/>
      <c r="RTH264" s="297"/>
      <c r="RTI264" s="297"/>
      <c r="RTJ264" s="297"/>
      <c r="RTK264" s="297"/>
      <c r="RTL264" s="297"/>
      <c r="RTM264" s="297"/>
      <c r="RTN264" s="297"/>
      <c r="RTO264" s="297"/>
      <c r="RTP264" s="297"/>
      <c r="RTQ264" s="297"/>
      <c r="RTR264" s="297"/>
      <c r="RTS264" s="297"/>
      <c r="RTT264" s="297"/>
      <c r="RTU264" s="297"/>
      <c r="RTV264" s="297"/>
      <c r="RTW264" s="297"/>
      <c r="RTX264" s="297"/>
      <c r="RTY264" s="297"/>
      <c r="RTZ264" s="297"/>
      <c r="RUA264" s="297"/>
      <c r="RUB264" s="297"/>
      <c r="RUC264" s="297"/>
      <c r="RUD264" s="297"/>
      <c r="RUE264" s="297"/>
      <c r="RUF264" s="297"/>
      <c r="RUG264" s="297"/>
      <c r="RUH264" s="297"/>
      <c r="RUI264" s="297"/>
      <c r="RUJ264" s="297"/>
      <c r="RUK264" s="297"/>
      <c r="RUL264" s="297"/>
      <c r="RUM264" s="297"/>
      <c r="RUN264" s="297"/>
      <c r="RUO264" s="297"/>
      <c r="RUP264" s="297"/>
      <c r="RUQ264" s="297"/>
      <c r="RUR264" s="297"/>
      <c r="RUS264" s="297"/>
      <c r="RUT264" s="297"/>
      <c r="RUU264" s="297"/>
      <c r="RUV264" s="297"/>
      <c r="RUW264" s="297"/>
      <c r="RUX264" s="297"/>
      <c r="RUY264" s="297"/>
      <c r="RUZ264" s="297"/>
      <c r="RVA264" s="297"/>
      <c r="RVB264" s="297"/>
      <c r="RVC264" s="297"/>
      <c r="RVD264" s="297"/>
      <c r="RVE264" s="297"/>
      <c r="RVF264" s="297"/>
      <c r="RVG264" s="297"/>
      <c r="RVH264" s="297"/>
      <c r="RVI264" s="297"/>
      <c r="RVJ264" s="297"/>
      <c r="RVK264" s="297"/>
      <c r="RVL264" s="297"/>
      <c r="RVM264" s="297"/>
      <c r="RVN264" s="297"/>
      <c r="RVO264" s="297"/>
      <c r="RVP264" s="297"/>
      <c r="RVQ264" s="297"/>
      <c r="RVR264" s="297"/>
      <c r="RVS264" s="297"/>
      <c r="RVT264" s="297"/>
      <c r="RVU264" s="297"/>
      <c r="RVV264" s="297"/>
      <c r="RVW264" s="297"/>
      <c r="RVX264" s="297"/>
      <c r="RVY264" s="297"/>
      <c r="RVZ264" s="297"/>
      <c r="RWA264" s="297"/>
      <c r="RWB264" s="297"/>
      <c r="RWC264" s="297"/>
      <c r="RWD264" s="297"/>
      <c r="RWE264" s="297"/>
      <c r="RWF264" s="297"/>
      <c r="RWG264" s="297"/>
      <c r="RWH264" s="297"/>
      <c r="RWI264" s="297"/>
      <c r="RWJ264" s="297"/>
      <c r="RWK264" s="297"/>
      <c r="RWL264" s="297"/>
      <c r="RWM264" s="297"/>
      <c r="RWN264" s="297"/>
      <c r="RWO264" s="297"/>
      <c r="RWP264" s="297"/>
      <c r="RWQ264" s="297"/>
      <c r="RWR264" s="297"/>
      <c r="RWS264" s="297"/>
      <c r="RWT264" s="297"/>
      <c r="RWU264" s="297"/>
      <c r="RWV264" s="297"/>
      <c r="RWW264" s="297"/>
      <c r="RWX264" s="297"/>
      <c r="RWY264" s="297"/>
      <c r="RWZ264" s="297"/>
      <c r="RXA264" s="297"/>
      <c r="RXB264" s="297"/>
      <c r="RXC264" s="297"/>
      <c r="RXD264" s="297"/>
      <c r="RXE264" s="297"/>
      <c r="RXF264" s="297"/>
      <c r="RXG264" s="297"/>
      <c r="RXH264" s="297"/>
      <c r="RXI264" s="297"/>
      <c r="RXJ264" s="297"/>
      <c r="RXK264" s="297"/>
      <c r="RXL264" s="297"/>
      <c r="RXM264" s="297"/>
      <c r="RXN264" s="297"/>
      <c r="RXO264" s="297"/>
      <c r="RXP264" s="297"/>
      <c r="RXQ264" s="297"/>
      <c r="RXR264" s="297"/>
      <c r="RXS264" s="297"/>
      <c r="RXT264" s="297"/>
      <c r="RXU264" s="297"/>
      <c r="RXV264" s="297"/>
      <c r="RXW264" s="297"/>
      <c r="RXX264" s="297"/>
      <c r="RXY264" s="297"/>
      <c r="RXZ264" s="297"/>
      <c r="RYA264" s="297"/>
      <c r="RYB264" s="297"/>
      <c r="RYC264" s="297"/>
      <c r="RYD264" s="297"/>
      <c r="RYE264" s="297"/>
      <c r="RYF264" s="297"/>
      <c r="RYG264" s="297"/>
      <c r="RYH264" s="297"/>
      <c r="RYI264" s="297"/>
      <c r="RYJ264" s="297"/>
      <c r="RYK264" s="297"/>
      <c r="RYL264" s="297"/>
      <c r="RYM264" s="297"/>
      <c r="RYN264" s="297"/>
      <c r="RYO264" s="297"/>
      <c r="RYP264" s="297"/>
      <c r="RYQ264" s="297"/>
      <c r="RYR264" s="297"/>
      <c r="RYS264" s="297"/>
      <c r="RYT264" s="297"/>
      <c r="RYU264" s="297"/>
      <c r="RYV264" s="297"/>
      <c r="RYW264" s="297"/>
      <c r="RYX264" s="297"/>
      <c r="RYY264" s="297"/>
      <c r="RYZ264" s="297"/>
      <c r="RZA264" s="297"/>
      <c r="RZB264" s="297"/>
      <c r="RZC264" s="297"/>
      <c r="RZD264" s="297"/>
      <c r="RZE264" s="297"/>
      <c r="RZF264" s="297"/>
      <c r="RZG264" s="297"/>
      <c r="RZH264" s="297"/>
      <c r="RZI264" s="297"/>
      <c r="RZJ264" s="297"/>
      <c r="RZK264" s="297"/>
      <c r="RZL264" s="297"/>
      <c r="RZM264" s="297"/>
      <c r="RZN264" s="297"/>
      <c r="RZO264" s="297"/>
      <c r="RZP264" s="297"/>
      <c r="RZQ264" s="297"/>
      <c r="RZR264" s="297"/>
      <c r="RZS264" s="297"/>
      <c r="RZT264" s="297"/>
      <c r="RZU264" s="297"/>
      <c r="RZV264" s="297"/>
      <c r="RZW264" s="297"/>
      <c r="RZX264" s="297"/>
      <c r="RZY264" s="297"/>
      <c r="RZZ264" s="297"/>
      <c r="SAA264" s="297"/>
      <c r="SAB264" s="297"/>
      <c r="SAC264" s="297"/>
      <c r="SAD264" s="297"/>
      <c r="SAE264" s="297"/>
      <c r="SAF264" s="297"/>
      <c r="SAG264" s="297"/>
      <c r="SAH264" s="297"/>
      <c r="SAI264" s="297"/>
      <c r="SAJ264" s="297"/>
      <c r="SAK264" s="297"/>
      <c r="SAL264" s="297"/>
      <c r="SAM264" s="297"/>
      <c r="SAN264" s="297"/>
      <c r="SAO264" s="297"/>
      <c r="SAP264" s="297"/>
      <c r="SAQ264" s="297"/>
      <c r="SAR264" s="297"/>
      <c r="SAS264" s="297"/>
      <c r="SAT264" s="297"/>
      <c r="SAU264" s="297"/>
      <c r="SAV264" s="297"/>
      <c r="SAW264" s="297"/>
      <c r="SAX264" s="297"/>
      <c r="SAY264" s="297"/>
      <c r="SAZ264" s="297"/>
      <c r="SBA264" s="297"/>
      <c r="SBB264" s="297"/>
      <c r="SBC264" s="297"/>
      <c r="SBD264" s="297"/>
      <c r="SBE264" s="297"/>
      <c r="SBF264" s="297"/>
      <c r="SBG264" s="297"/>
      <c r="SBH264" s="297"/>
      <c r="SBI264" s="297"/>
      <c r="SBJ264" s="297"/>
      <c r="SBK264" s="297"/>
      <c r="SBL264" s="297"/>
      <c r="SBM264" s="297"/>
      <c r="SBN264" s="297"/>
      <c r="SBO264" s="297"/>
      <c r="SBP264" s="297"/>
      <c r="SBQ264" s="297"/>
      <c r="SBR264" s="297"/>
      <c r="SBS264" s="297"/>
      <c r="SBT264" s="297"/>
      <c r="SBU264" s="297"/>
      <c r="SBV264" s="297"/>
      <c r="SBW264" s="297"/>
      <c r="SBX264" s="297"/>
      <c r="SBY264" s="297"/>
      <c r="SBZ264" s="297"/>
      <c r="SCA264" s="297"/>
      <c r="SCB264" s="297"/>
      <c r="SCC264" s="297"/>
      <c r="SCD264" s="297"/>
      <c r="SCE264" s="297"/>
      <c r="SCF264" s="297"/>
      <c r="SCG264" s="297"/>
      <c r="SCH264" s="297"/>
      <c r="SCI264" s="297"/>
      <c r="SCJ264" s="297"/>
      <c r="SCK264" s="297"/>
      <c r="SCL264" s="297"/>
      <c r="SCM264" s="297"/>
      <c r="SCN264" s="297"/>
      <c r="SCO264" s="297"/>
      <c r="SCP264" s="297"/>
      <c r="SCQ264" s="297"/>
      <c r="SCR264" s="297"/>
      <c r="SCS264" s="297"/>
      <c r="SCT264" s="297"/>
      <c r="SCU264" s="297"/>
      <c r="SCV264" s="297"/>
      <c r="SCW264" s="297"/>
      <c r="SCX264" s="297"/>
      <c r="SCY264" s="297"/>
      <c r="SCZ264" s="297"/>
      <c r="SDA264" s="297"/>
      <c r="SDB264" s="297"/>
      <c r="SDC264" s="297"/>
      <c r="SDD264" s="297"/>
      <c r="SDE264" s="297"/>
      <c r="SDF264" s="297"/>
      <c r="SDG264" s="297"/>
      <c r="SDH264" s="297"/>
      <c r="SDI264" s="297"/>
      <c r="SDJ264" s="297"/>
      <c r="SDK264" s="297"/>
      <c r="SDL264" s="297"/>
      <c r="SDM264" s="297"/>
      <c r="SDN264" s="297"/>
      <c r="SDO264" s="297"/>
      <c r="SDP264" s="297"/>
      <c r="SDQ264" s="297"/>
      <c r="SDR264" s="297"/>
      <c r="SDS264" s="297"/>
      <c r="SDT264" s="297"/>
      <c r="SDU264" s="297"/>
      <c r="SDV264" s="297"/>
      <c r="SDW264" s="297"/>
      <c r="SDX264" s="297"/>
      <c r="SDY264" s="297"/>
      <c r="SDZ264" s="297"/>
      <c r="SEA264" s="297"/>
      <c r="SEB264" s="297"/>
      <c r="SEC264" s="297"/>
      <c r="SED264" s="297"/>
      <c r="SEE264" s="297"/>
      <c r="SEF264" s="297"/>
      <c r="SEG264" s="297"/>
      <c r="SEH264" s="297"/>
      <c r="SEI264" s="297"/>
      <c r="SEJ264" s="297"/>
      <c r="SEK264" s="297"/>
      <c r="SEL264" s="297"/>
      <c r="SEM264" s="297"/>
      <c r="SEN264" s="297"/>
      <c r="SEO264" s="297"/>
      <c r="SEP264" s="297"/>
      <c r="SEQ264" s="297"/>
      <c r="SER264" s="297"/>
      <c r="SES264" s="297"/>
      <c r="SET264" s="297"/>
      <c r="SEU264" s="297"/>
      <c r="SEV264" s="297"/>
      <c r="SEW264" s="297"/>
      <c r="SEX264" s="297"/>
      <c r="SEY264" s="297"/>
      <c r="SEZ264" s="297"/>
      <c r="SFA264" s="297"/>
      <c r="SFB264" s="297"/>
      <c r="SFC264" s="297"/>
      <c r="SFD264" s="297"/>
      <c r="SFE264" s="297"/>
      <c r="SFF264" s="297"/>
      <c r="SFG264" s="297"/>
      <c r="SFH264" s="297"/>
      <c r="SFI264" s="297"/>
      <c r="SFJ264" s="297"/>
      <c r="SFK264" s="297"/>
      <c r="SFL264" s="297"/>
      <c r="SFM264" s="297"/>
      <c r="SFN264" s="297"/>
      <c r="SFO264" s="297"/>
      <c r="SFP264" s="297"/>
      <c r="SFQ264" s="297"/>
      <c r="SFR264" s="297"/>
      <c r="SFS264" s="297"/>
      <c r="SFT264" s="297"/>
      <c r="SFU264" s="297"/>
      <c r="SFV264" s="297"/>
      <c r="SFW264" s="297"/>
      <c r="SFX264" s="297"/>
      <c r="SFY264" s="297"/>
      <c r="SFZ264" s="297"/>
      <c r="SGA264" s="297"/>
      <c r="SGB264" s="297"/>
      <c r="SGC264" s="297"/>
      <c r="SGD264" s="297"/>
      <c r="SGE264" s="297"/>
      <c r="SGF264" s="297"/>
      <c r="SGG264" s="297"/>
      <c r="SGH264" s="297"/>
      <c r="SGI264" s="297"/>
      <c r="SGJ264" s="297"/>
      <c r="SGK264" s="297"/>
      <c r="SGL264" s="297"/>
      <c r="SGM264" s="297"/>
      <c r="SGN264" s="297"/>
      <c r="SGO264" s="297"/>
      <c r="SGP264" s="297"/>
      <c r="SGQ264" s="297"/>
      <c r="SGR264" s="297"/>
      <c r="SGS264" s="297"/>
      <c r="SGT264" s="297"/>
      <c r="SGU264" s="297"/>
      <c r="SGV264" s="297"/>
      <c r="SGW264" s="297"/>
      <c r="SGX264" s="297"/>
      <c r="SGY264" s="297"/>
      <c r="SGZ264" s="297"/>
      <c r="SHA264" s="297"/>
      <c r="SHB264" s="297"/>
      <c r="SHC264" s="297"/>
      <c r="SHD264" s="297"/>
      <c r="SHE264" s="297"/>
      <c r="SHF264" s="297"/>
      <c r="SHG264" s="297"/>
      <c r="SHH264" s="297"/>
      <c r="SHI264" s="297"/>
      <c r="SHJ264" s="297"/>
      <c r="SHK264" s="297"/>
      <c r="SHL264" s="297"/>
      <c r="SHM264" s="297"/>
      <c r="SHN264" s="297"/>
      <c r="SHO264" s="297"/>
      <c r="SHP264" s="297"/>
      <c r="SHQ264" s="297"/>
      <c r="SHR264" s="297"/>
      <c r="SHS264" s="297"/>
      <c r="SHT264" s="297"/>
      <c r="SHU264" s="297"/>
      <c r="SHV264" s="297"/>
      <c r="SHW264" s="297"/>
      <c r="SHX264" s="297"/>
      <c r="SHY264" s="297"/>
      <c r="SHZ264" s="297"/>
      <c r="SIA264" s="297"/>
      <c r="SIB264" s="297"/>
      <c r="SIC264" s="297"/>
      <c r="SID264" s="297"/>
      <c r="SIE264" s="297"/>
      <c r="SIF264" s="297"/>
      <c r="SIG264" s="297"/>
      <c r="SIH264" s="297"/>
      <c r="SII264" s="297"/>
      <c r="SIJ264" s="297"/>
      <c r="SIK264" s="297"/>
      <c r="SIL264" s="297"/>
      <c r="SIM264" s="297"/>
      <c r="SIN264" s="297"/>
      <c r="SIO264" s="297"/>
      <c r="SIP264" s="297"/>
      <c r="SIQ264" s="297"/>
      <c r="SIR264" s="297"/>
      <c r="SIS264" s="297"/>
      <c r="SIT264" s="297"/>
      <c r="SIU264" s="297"/>
      <c r="SIV264" s="297"/>
      <c r="SIW264" s="297"/>
      <c r="SIX264" s="297"/>
      <c r="SIY264" s="297"/>
      <c r="SIZ264" s="297"/>
      <c r="SJA264" s="297"/>
      <c r="SJB264" s="297"/>
      <c r="SJC264" s="297"/>
      <c r="SJD264" s="297"/>
      <c r="SJE264" s="297"/>
      <c r="SJF264" s="297"/>
      <c r="SJG264" s="297"/>
      <c r="SJH264" s="297"/>
      <c r="SJI264" s="297"/>
      <c r="SJJ264" s="297"/>
      <c r="SJK264" s="297"/>
      <c r="SJL264" s="297"/>
      <c r="SJM264" s="297"/>
      <c r="SJN264" s="297"/>
      <c r="SJO264" s="297"/>
      <c r="SJP264" s="297"/>
      <c r="SJQ264" s="297"/>
      <c r="SJR264" s="297"/>
      <c r="SJS264" s="297"/>
      <c r="SJT264" s="297"/>
      <c r="SJU264" s="297"/>
      <c r="SJV264" s="297"/>
      <c r="SJW264" s="297"/>
      <c r="SJX264" s="297"/>
      <c r="SJY264" s="297"/>
      <c r="SJZ264" s="297"/>
      <c r="SKA264" s="297"/>
      <c r="SKB264" s="297"/>
      <c r="SKC264" s="297"/>
      <c r="SKD264" s="297"/>
      <c r="SKE264" s="297"/>
      <c r="SKF264" s="297"/>
      <c r="SKG264" s="297"/>
      <c r="SKH264" s="297"/>
      <c r="SKI264" s="297"/>
      <c r="SKJ264" s="297"/>
      <c r="SKK264" s="297"/>
      <c r="SKL264" s="297"/>
      <c r="SKM264" s="297"/>
      <c r="SKN264" s="297"/>
      <c r="SKO264" s="297"/>
      <c r="SKP264" s="297"/>
      <c r="SKQ264" s="297"/>
      <c r="SKR264" s="297"/>
      <c r="SKS264" s="297"/>
      <c r="SKT264" s="297"/>
      <c r="SKU264" s="297"/>
      <c r="SKV264" s="297"/>
      <c r="SKW264" s="297"/>
      <c r="SKX264" s="297"/>
      <c r="SKY264" s="297"/>
      <c r="SKZ264" s="297"/>
      <c r="SLA264" s="297"/>
      <c r="SLB264" s="297"/>
      <c r="SLC264" s="297"/>
      <c r="SLD264" s="297"/>
      <c r="SLE264" s="297"/>
      <c r="SLF264" s="297"/>
      <c r="SLG264" s="297"/>
      <c r="SLH264" s="297"/>
      <c r="SLI264" s="297"/>
      <c r="SLJ264" s="297"/>
      <c r="SLK264" s="297"/>
      <c r="SLL264" s="297"/>
      <c r="SLM264" s="297"/>
      <c r="SLN264" s="297"/>
      <c r="SLO264" s="297"/>
      <c r="SLP264" s="297"/>
      <c r="SLQ264" s="297"/>
      <c r="SLR264" s="297"/>
      <c r="SLS264" s="297"/>
      <c r="SLT264" s="297"/>
      <c r="SLU264" s="297"/>
      <c r="SLV264" s="297"/>
      <c r="SLW264" s="297"/>
      <c r="SLX264" s="297"/>
      <c r="SLY264" s="297"/>
      <c r="SLZ264" s="297"/>
      <c r="SMA264" s="297"/>
      <c r="SMB264" s="297"/>
      <c r="SMC264" s="297"/>
      <c r="SMD264" s="297"/>
      <c r="SME264" s="297"/>
      <c r="SMF264" s="297"/>
      <c r="SMG264" s="297"/>
      <c r="SMH264" s="297"/>
      <c r="SMI264" s="297"/>
      <c r="SMJ264" s="297"/>
      <c r="SMK264" s="297"/>
      <c r="SML264" s="297"/>
      <c r="SMM264" s="297"/>
      <c r="SMN264" s="297"/>
      <c r="SMO264" s="297"/>
      <c r="SMP264" s="297"/>
      <c r="SMQ264" s="297"/>
      <c r="SMR264" s="297"/>
      <c r="SMS264" s="297"/>
      <c r="SMT264" s="297"/>
      <c r="SMU264" s="297"/>
      <c r="SMV264" s="297"/>
      <c r="SMW264" s="297"/>
      <c r="SMX264" s="297"/>
      <c r="SMY264" s="297"/>
      <c r="SMZ264" s="297"/>
      <c r="SNA264" s="297"/>
      <c r="SNB264" s="297"/>
      <c r="SNC264" s="297"/>
      <c r="SND264" s="297"/>
      <c r="SNE264" s="297"/>
      <c r="SNF264" s="297"/>
      <c r="SNG264" s="297"/>
      <c r="SNH264" s="297"/>
      <c r="SNI264" s="297"/>
      <c r="SNJ264" s="297"/>
      <c r="SNK264" s="297"/>
      <c r="SNL264" s="297"/>
      <c r="SNM264" s="297"/>
      <c r="SNN264" s="297"/>
      <c r="SNO264" s="297"/>
      <c r="SNP264" s="297"/>
      <c r="SNQ264" s="297"/>
      <c r="SNR264" s="297"/>
      <c r="SNS264" s="297"/>
      <c r="SNT264" s="297"/>
      <c r="SNU264" s="297"/>
      <c r="SNV264" s="297"/>
      <c r="SNW264" s="297"/>
      <c r="SNX264" s="297"/>
      <c r="SNY264" s="297"/>
      <c r="SNZ264" s="297"/>
      <c r="SOA264" s="297"/>
      <c r="SOB264" s="297"/>
      <c r="SOC264" s="297"/>
      <c r="SOD264" s="297"/>
      <c r="SOE264" s="297"/>
      <c r="SOF264" s="297"/>
      <c r="SOG264" s="297"/>
      <c r="SOH264" s="297"/>
      <c r="SOI264" s="297"/>
      <c r="SOJ264" s="297"/>
      <c r="SOK264" s="297"/>
      <c r="SOL264" s="297"/>
      <c r="SOM264" s="297"/>
      <c r="SON264" s="297"/>
      <c r="SOO264" s="297"/>
      <c r="SOP264" s="297"/>
      <c r="SOQ264" s="297"/>
      <c r="SOR264" s="297"/>
      <c r="SOS264" s="297"/>
      <c r="SOT264" s="297"/>
      <c r="SOU264" s="297"/>
      <c r="SOV264" s="297"/>
      <c r="SOW264" s="297"/>
      <c r="SOX264" s="297"/>
      <c r="SOY264" s="297"/>
      <c r="SOZ264" s="297"/>
      <c r="SPA264" s="297"/>
      <c r="SPB264" s="297"/>
      <c r="SPC264" s="297"/>
      <c r="SPD264" s="297"/>
      <c r="SPE264" s="297"/>
      <c r="SPF264" s="297"/>
      <c r="SPG264" s="297"/>
      <c r="SPH264" s="297"/>
      <c r="SPI264" s="297"/>
      <c r="SPJ264" s="297"/>
      <c r="SPK264" s="297"/>
      <c r="SPL264" s="297"/>
      <c r="SPM264" s="297"/>
      <c r="SPN264" s="297"/>
      <c r="SPO264" s="297"/>
      <c r="SPP264" s="297"/>
      <c r="SPQ264" s="297"/>
      <c r="SPR264" s="297"/>
      <c r="SPS264" s="297"/>
      <c r="SPT264" s="297"/>
      <c r="SPU264" s="297"/>
      <c r="SPV264" s="297"/>
      <c r="SPW264" s="297"/>
      <c r="SPX264" s="297"/>
      <c r="SPY264" s="297"/>
      <c r="SPZ264" s="297"/>
      <c r="SQA264" s="297"/>
      <c r="SQB264" s="297"/>
      <c r="SQC264" s="297"/>
      <c r="SQD264" s="297"/>
      <c r="SQE264" s="297"/>
      <c r="SQF264" s="297"/>
      <c r="SQG264" s="297"/>
      <c r="SQH264" s="297"/>
      <c r="SQI264" s="297"/>
      <c r="SQJ264" s="297"/>
      <c r="SQK264" s="297"/>
      <c r="SQL264" s="297"/>
      <c r="SQM264" s="297"/>
      <c r="SQN264" s="297"/>
      <c r="SQO264" s="297"/>
      <c r="SQP264" s="297"/>
      <c r="SQQ264" s="297"/>
      <c r="SQR264" s="297"/>
      <c r="SQS264" s="297"/>
      <c r="SQT264" s="297"/>
      <c r="SQU264" s="297"/>
      <c r="SQV264" s="297"/>
      <c r="SQW264" s="297"/>
      <c r="SQX264" s="297"/>
      <c r="SQY264" s="297"/>
      <c r="SQZ264" s="297"/>
      <c r="SRA264" s="297"/>
      <c r="SRB264" s="297"/>
      <c r="SRC264" s="297"/>
      <c r="SRD264" s="297"/>
      <c r="SRE264" s="297"/>
      <c r="SRF264" s="297"/>
      <c r="SRG264" s="297"/>
      <c r="SRH264" s="297"/>
      <c r="SRI264" s="297"/>
      <c r="SRJ264" s="297"/>
      <c r="SRK264" s="297"/>
      <c r="SRL264" s="297"/>
      <c r="SRM264" s="297"/>
      <c r="SRN264" s="297"/>
      <c r="SRO264" s="297"/>
      <c r="SRP264" s="297"/>
      <c r="SRQ264" s="297"/>
      <c r="SRR264" s="297"/>
      <c r="SRS264" s="297"/>
      <c r="SRT264" s="297"/>
      <c r="SRU264" s="297"/>
      <c r="SRV264" s="297"/>
      <c r="SRW264" s="297"/>
      <c r="SRX264" s="297"/>
      <c r="SRY264" s="297"/>
      <c r="SRZ264" s="297"/>
      <c r="SSA264" s="297"/>
      <c r="SSB264" s="297"/>
      <c r="SSC264" s="297"/>
      <c r="SSD264" s="297"/>
      <c r="SSE264" s="297"/>
      <c r="SSF264" s="297"/>
      <c r="SSG264" s="297"/>
      <c r="SSH264" s="297"/>
      <c r="SSI264" s="297"/>
      <c r="SSJ264" s="297"/>
      <c r="SSK264" s="297"/>
      <c r="SSL264" s="297"/>
      <c r="SSM264" s="297"/>
      <c r="SSN264" s="297"/>
      <c r="SSO264" s="297"/>
      <c r="SSP264" s="297"/>
      <c r="SSQ264" s="297"/>
      <c r="SSR264" s="297"/>
      <c r="SSS264" s="297"/>
      <c r="SST264" s="297"/>
      <c r="SSU264" s="297"/>
      <c r="SSV264" s="297"/>
      <c r="SSW264" s="297"/>
      <c r="SSX264" s="297"/>
      <c r="SSY264" s="297"/>
      <c r="SSZ264" s="297"/>
      <c r="STA264" s="297"/>
      <c r="STB264" s="297"/>
      <c r="STC264" s="297"/>
      <c r="STD264" s="297"/>
      <c r="STE264" s="297"/>
      <c r="STF264" s="297"/>
      <c r="STG264" s="297"/>
      <c r="STH264" s="297"/>
      <c r="STI264" s="297"/>
      <c r="STJ264" s="297"/>
      <c r="STK264" s="297"/>
      <c r="STL264" s="297"/>
      <c r="STM264" s="297"/>
      <c r="STN264" s="297"/>
      <c r="STO264" s="297"/>
      <c r="STP264" s="297"/>
      <c r="STQ264" s="297"/>
      <c r="STR264" s="297"/>
      <c r="STS264" s="297"/>
      <c r="STT264" s="297"/>
      <c r="STU264" s="297"/>
      <c r="STV264" s="297"/>
      <c r="STW264" s="297"/>
      <c r="STX264" s="297"/>
      <c r="STY264" s="297"/>
      <c r="STZ264" s="297"/>
      <c r="SUA264" s="297"/>
      <c r="SUB264" s="297"/>
      <c r="SUC264" s="297"/>
      <c r="SUD264" s="297"/>
      <c r="SUE264" s="297"/>
      <c r="SUF264" s="297"/>
      <c r="SUG264" s="297"/>
      <c r="SUH264" s="297"/>
      <c r="SUI264" s="297"/>
      <c r="SUJ264" s="297"/>
      <c r="SUK264" s="297"/>
      <c r="SUL264" s="297"/>
      <c r="SUM264" s="297"/>
      <c r="SUN264" s="297"/>
      <c r="SUO264" s="297"/>
      <c r="SUP264" s="297"/>
      <c r="SUQ264" s="297"/>
      <c r="SUR264" s="297"/>
      <c r="SUS264" s="297"/>
      <c r="SUT264" s="297"/>
      <c r="SUU264" s="297"/>
      <c r="SUV264" s="297"/>
      <c r="SUW264" s="297"/>
      <c r="SUX264" s="297"/>
      <c r="SUY264" s="297"/>
      <c r="SUZ264" s="297"/>
      <c r="SVA264" s="297"/>
      <c r="SVB264" s="297"/>
      <c r="SVC264" s="297"/>
      <c r="SVD264" s="297"/>
      <c r="SVE264" s="297"/>
      <c r="SVF264" s="297"/>
      <c r="SVG264" s="297"/>
      <c r="SVH264" s="297"/>
      <c r="SVI264" s="297"/>
      <c r="SVJ264" s="297"/>
      <c r="SVK264" s="297"/>
      <c r="SVL264" s="297"/>
      <c r="SVM264" s="297"/>
      <c r="SVN264" s="297"/>
      <c r="SVO264" s="297"/>
      <c r="SVP264" s="297"/>
      <c r="SVQ264" s="297"/>
      <c r="SVR264" s="297"/>
      <c r="SVS264" s="297"/>
      <c r="SVT264" s="297"/>
      <c r="SVU264" s="297"/>
      <c r="SVV264" s="297"/>
      <c r="SVW264" s="297"/>
      <c r="SVX264" s="297"/>
      <c r="SVY264" s="297"/>
      <c r="SVZ264" s="297"/>
      <c r="SWA264" s="297"/>
      <c r="SWB264" s="297"/>
      <c r="SWC264" s="297"/>
      <c r="SWD264" s="297"/>
      <c r="SWE264" s="297"/>
      <c r="SWF264" s="297"/>
      <c r="SWG264" s="297"/>
      <c r="SWH264" s="297"/>
      <c r="SWI264" s="297"/>
      <c r="SWJ264" s="297"/>
      <c r="SWK264" s="297"/>
      <c r="SWL264" s="297"/>
      <c r="SWM264" s="297"/>
      <c r="SWN264" s="297"/>
      <c r="SWO264" s="297"/>
      <c r="SWP264" s="297"/>
      <c r="SWQ264" s="297"/>
      <c r="SWR264" s="297"/>
      <c r="SWS264" s="297"/>
      <c r="SWT264" s="297"/>
      <c r="SWU264" s="297"/>
      <c r="SWV264" s="297"/>
      <c r="SWW264" s="297"/>
      <c r="SWX264" s="297"/>
      <c r="SWY264" s="297"/>
      <c r="SWZ264" s="297"/>
      <c r="SXA264" s="297"/>
      <c r="SXB264" s="297"/>
      <c r="SXC264" s="297"/>
      <c r="SXD264" s="297"/>
      <c r="SXE264" s="297"/>
      <c r="SXF264" s="297"/>
      <c r="SXG264" s="297"/>
      <c r="SXH264" s="297"/>
      <c r="SXI264" s="297"/>
      <c r="SXJ264" s="297"/>
      <c r="SXK264" s="297"/>
      <c r="SXL264" s="297"/>
      <c r="SXM264" s="297"/>
      <c r="SXN264" s="297"/>
      <c r="SXO264" s="297"/>
      <c r="SXP264" s="297"/>
      <c r="SXQ264" s="297"/>
      <c r="SXR264" s="297"/>
      <c r="SXS264" s="297"/>
      <c r="SXT264" s="297"/>
      <c r="SXU264" s="297"/>
      <c r="SXV264" s="297"/>
      <c r="SXW264" s="297"/>
      <c r="SXX264" s="297"/>
      <c r="SXY264" s="297"/>
      <c r="SXZ264" s="297"/>
      <c r="SYA264" s="297"/>
      <c r="SYB264" s="297"/>
      <c r="SYC264" s="297"/>
      <c r="SYD264" s="297"/>
      <c r="SYE264" s="297"/>
      <c r="SYF264" s="297"/>
      <c r="SYG264" s="297"/>
      <c r="SYH264" s="297"/>
      <c r="SYI264" s="297"/>
      <c r="SYJ264" s="297"/>
      <c r="SYK264" s="297"/>
      <c r="SYL264" s="297"/>
      <c r="SYM264" s="297"/>
      <c r="SYN264" s="297"/>
      <c r="SYO264" s="297"/>
      <c r="SYP264" s="297"/>
      <c r="SYQ264" s="297"/>
      <c r="SYR264" s="297"/>
      <c r="SYS264" s="297"/>
      <c r="SYT264" s="297"/>
      <c r="SYU264" s="297"/>
      <c r="SYV264" s="297"/>
      <c r="SYW264" s="297"/>
      <c r="SYX264" s="297"/>
      <c r="SYY264" s="297"/>
      <c r="SYZ264" s="297"/>
      <c r="SZA264" s="297"/>
      <c r="SZB264" s="297"/>
      <c r="SZC264" s="297"/>
      <c r="SZD264" s="297"/>
      <c r="SZE264" s="297"/>
      <c r="SZF264" s="297"/>
      <c r="SZG264" s="297"/>
      <c r="SZH264" s="297"/>
      <c r="SZI264" s="297"/>
      <c r="SZJ264" s="297"/>
      <c r="SZK264" s="297"/>
      <c r="SZL264" s="297"/>
      <c r="SZM264" s="297"/>
      <c r="SZN264" s="297"/>
      <c r="SZO264" s="297"/>
      <c r="SZP264" s="297"/>
      <c r="SZQ264" s="297"/>
      <c r="SZR264" s="297"/>
      <c r="SZS264" s="297"/>
      <c r="SZT264" s="297"/>
      <c r="SZU264" s="297"/>
      <c r="SZV264" s="297"/>
      <c r="SZW264" s="297"/>
      <c r="SZX264" s="297"/>
      <c r="SZY264" s="297"/>
      <c r="SZZ264" s="297"/>
      <c r="TAA264" s="297"/>
      <c r="TAB264" s="297"/>
      <c r="TAC264" s="297"/>
      <c r="TAD264" s="297"/>
      <c r="TAE264" s="297"/>
      <c r="TAF264" s="297"/>
      <c r="TAG264" s="297"/>
      <c r="TAH264" s="297"/>
      <c r="TAI264" s="297"/>
      <c r="TAJ264" s="297"/>
      <c r="TAK264" s="297"/>
      <c r="TAL264" s="297"/>
      <c r="TAM264" s="297"/>
      <c r="TAN264" s="297"/>
      <c r="TAO264" s="297"/>
      <c r="TAP264" s="297"/>
      <c r="TAQ264" s="297"/>
      <c r="TAR264" s="297"/>
      <c r="TAS264" s="297"/>
      <c r="TAT264" s="297"/>
      <c r="TAU264" s="297"/>
      <c r="TAV264" s="297"/>
      <c r="TAW264" s="297"/>
      <c r="TAX264" s="297"/>
      <c r="TAY264" s="297"/>
      <c r="TAZ264" s="297"/>
      <c r="TBA264" s="297"/>
      <c r="TBB264" s="297"/>
      <c r="TBC264" s="297"/>
      <c r="TBD264" s="297"/>
      <c r="TBE264" s="297"/>
      <c r="TBF264" s="297"/>
      <c r="TBG264" s="297"/>
      <c r="TBH264" s="297"/>
      <c r="TBI264" s="297"/>
      <c r="TBJ264" s="297"/>
      <c r="TBK264" s="297"/>
      <c r="TBL264" s="297"/>
      <c r="TBM264" s="297"/>
      <c r="TBN264" s="297"/>
      <c r="TBO264" s="297"/>
      <c r="TBP264" s="297"/>
      <c r="TBQ264" s="297"/>
      <c r="TBR264" s="297"/>
      <c r="TBS264" s="297"/>
      <c r="TBT264" s="297"/>
      <c r="TBU264" s="297"/>
      <c r="TBV264" s="297"/>
      <c r="TBW264" s="297"/>
      <c r="TBX264" s="297"/>
      <c r="TBY264" s="297"/>
      <c r="TBZ264" s="297"/>
      <c r="TCA264" s="297"/>
      <c r="TCB264" s="297"/>
      <c r="TCC264" s="297"/>
      <c r="TCD264" s="297"/>
      <c r="TCE264" s="297"/>
      <c r="TCF264" s="297"/>
      <c r="TCG264" s="297"/>
      <c r="TCH264" s="297"/>
      <c r="TCI264" s="297"/>
      <c r="TCJ264" s="297"/>
      <c r="TCK264" s="297"/>
      <c r="TCL264" s="297"/>
      <c r="TCM264" s="297"/>
      <c r="TCN264" s="297"/>
      <c r="TCO264" s="297"/>
      <c r="TCP264" s="297"/>
      <c r="TCQ264" s="297"/>
      <c r="TCR264" s="297"/>
      <c r="TCS264" s="297"/>
      <c r="TCT264" s="297"/>
      <c r="TCU264" s="297"/>
      <c r="TCV264" s="297"/>
      <c r="TCW264" s="297"/>
      <c r="TCX264" s="297"/>
      <c r="TCY264" s="297"/>
      <c r="TCZ264" s="297"/>
      <c r="TDA264" s="297"/>
      <c r="TDB264" s="297"/>
      <c r="TDC264" s="297"/>
      <c r="TDD264" s="297"/>
      <c r="TDE264" s="297"/>
      <c r="TDF264" s="297"/>
      <c r="TDG264" s="297"/>
      <c r="TDH264" s="297"/>
      <c r="TDI264" s="297"/>
      <c r="TDJ264" s="297"/>
      <c r="TDK264" s="297"/>
      <c r="TDL264" s="297"/>
      <c r="TDM264" s="297"/>
      <c r="TDN264" s="297"/>
      <c r="TDO264" s="297"/>
      <c r="TDP264" s="297"/>
      <c r="TDQ264" s="297"/>
      <c r="TDR264" s="297"/>
      <c r="TDS264" s="297"/>
      <c r="TDT264" s="297"/>
      <c r="TDU264" s="297"/>
      <c r="TDV264" s="297"/>
      <c r="TDW264" s="297"/>
      <c r="TDX264" s="297"/>
      <c r="TDY264" s="297"/>
      <c r="TDZ264" s="297"/>
      <c r="TEA264" s="297"/>
      <c r="TEB264" s="297"/>
      <c r="TEC264" s="297"/>
      <c r="TED264" s="297"/>
      <c r="TEE264" s="297"/>
      <c r="TEF264" s="297"/>
      <c r="TEG264" s="297"/>
      <c r="TEH264" s="297"/>
      <c r="TEI264" s="297"/>
      <c r="TEJ264" s="297"/>
      <c r="TEK264" s="297"/>
      <c r="TEL264" s="297"/>
      <c r="TEM264" s="297"/>
      <c r="TEN264" s="297"/>
      <c r="TEO264" s="297"/>
      <c r="TEP264" s="297"/>
      <c r="TEQ264" s="297"/>
      <c r="TER264" s="297"/>
      <c r="TES264" s="297"/>
      <c r="TET264" s="297"/>
      <c r="TEU264" s="297"/>
      <c r="TEV264" s="297"/>
      <c r="TEW264" s="297"/>
      <c r="TEX264" s="297"/>
      <c r="TEY264" s="297"/>
      <c r="TEZ264" s="297"/>
      <c r="TFA264" s="297"/>
      <c r="TFB264" s="297"/>
      <c r="TFC264" s="297"/>
      <c r="TFD264" s="297"/>
      <c r="TFE264" s="297"/>
      <c r="TFF264" s="297"/>
      <c r="TFG264" s="297"/>
      <c r="TFH264" s="297"/>
      <c r="TFI264" s="297"/>
      <c r="TFJ264" s="297"/>
      <c r="TFK264" s="297"/>
      <c r="TFL264" s="297"/>
      <c r="TFM264" s="297"/>
      <c r="TFN264" s="297"/>
      <c r="TFO264" s="297"/>
      <c r="TFP264" s="297"/>
      <c r="TFQ264" s="297"/>
      <c r="TFR264" s="297"/>
      <c r="TFS264" s="297"/>
      <c r="TFT264" s="297"/>
      <c r="TFU264" s="297"/>
      <c r="TFV264" s="297"/>
      <c r="TFW264" s="297"/>
      <c r="TFX264" s="297"/>
      <c r="TFY264" s="297"/>
      <c r="TFZ264" s="297"/>
      <c r="TGA264" s="297"/>
      <c r="TGB264" s="297"/>
      <c r="TGC264" s="297"/>
      <c r="TGD264" s="297"/>
      <c r="TGE264" s="297"/>
      <c r="TGF264" s="297"/>
      <c r="TGG264" s="297"/>
      <c r="TGH264" s="297"/>
      <c r="TGI264" s="297"/>
      <c r="TGJ264" s="297"/>
      <c r="TGK264" s="297"/>
      <c r="TGL264" s="297"/>
      <c r="TGM264" s="297"/>
      <c r="TGN264" s="297"/>
      <c r="TGO264" s="297"/>
      <c r="TGP264" s="297"/>
      <c r="TGQ264" s="297"/>
      <c r="TGR264" s="297"/>
      <c r="TGS264" s="297"/>
      <c r="TGT264" s="297"/>
      <c r="TGU264" s="297"/>
      <c r="TGV264" s="297"/>
      <c r="TGW264" s="297"/>
      <c r="TGX264" s="297"/>
      <c r="TGY264" s="297"/>
      <c r="TGZ264" s="297"/>
      <c r="THA264" s="297"/>
      <c r="THB264" s="297"/>
      <c r="THC264" s="297"/>
      <c r="THD264" s="297"/>
      <c r="THE264" s="297"/>
      <c r="THF264" s="297"/>
      <c r="THG264" s="297"/>
      <c r="THH264" s="297"/>
      <c r="THI264" s="297"/>
      <c r="THJ264" s="297"/>
      <c r="THK264" s="297"/>
      <c r="THL264" s="297"/>
      <c r="THM264" s="297"/>
      <c r="THN264" s="297"/>
      <c r="THO264" s="297"/>
      <c r="THP264" s="297"/>
      <c r="THQ264" s="297"/>
      <c r="THR264" s="297"/>
      <c r="THS264" s="297"/>
      <c r="THT264" s="297"/>
      <c r="THU264" s="297"/>
      <c r="THV264" s="297"/>
      <c r="THW264" s="297"/>
      <c r="THX264" s="297"/>
      <c r="THY264" s="297"/>
      <c r="THZ264" s="297"/>
      <c r="TIA264" s="297"/>
      <c r="TIB264" s="297"/>
      <c r="TIC264" s="297"/>
      <c r="TID264" s="297"/>
      <c r="TIE264" s="297"/>
      <c r="TIF264" s="297"/>
      <c r="TIG264" s="297"/>
      <c r="TIH264" s="297"/>
      <c r="TII264" s="297"/>
      <c r="TIJ264" s="297"/>
      <c r="TIK264" s="297"/>
      <c r="TIL264" s="297"/>
      <c r="TIM264" s="297"/>
      <c r="TIN264" s="297"/>
      <c r="TIO264" s="297"/>
      <c r="TIP264" s="297"/>
      <c r="TIQ264" s="297"/>
      <c r="TIR264" s="297"/>
      <c r="TIS264" s="297"/>
      <c r="TIT264" s="297"/>
      <c r="TIU264" s="297"/>
      <c r="TIV264" s="297"/>
      <c r="TIW264" s="297"/>
      <c r="TIX264" s="297"/>
      <c r="TIY264" s="297"/>
      <c r="TIZ264" s="297"/>
      <c r="TJA264" s="297"/>
      <c r="TJB264" s="297"/>
      <c r="TJC264" s="297"/>
      <c r="TJD264" s="297"/>
      <c r="TJE264" s="297"/>
      <c r="TJF264" s="297"/>
      <c r="TJG264" s="297"/>
      <c r="TJH264" s="297"/>
      <c r="TJI264" s="297"/>
      <c r="TJJ264" s="297"/>
      <c r="TJK264" s="297"/>
      <c r="TJL264" s="297"/>
      <c r="TJM264" s="297"/>
      <c r="TJN264" s="297"/>
      <c r="TJO264" s="297"/>
      <c r="TJP264" s="297"/>
      <c r="TJQ264" s="297"/>
      <c r="TJR264" s="297"/>
      <c r="TJS264" s="297"/>
      <c r="TJT264" s="297"/>
      <c r="TJU264" s="297"/>
      <c r="TJV264" s="297"/>
      <c r="TJW264" s="297"/>
      <c r="TJX264" s="297"/>
      <c r="TJY264" s="297"/>
      <c r="TJZ264" s="297"/>
      <c r="TKA264" s="297"/>
      <c r="TKB264" s="297"/>
      <c r="TKC264" s="297"/>
      <c r="TKD264" s="297"/>
      <c r="TKE264" s="297"/>
      <c r="TKF264" s="297"/>
      <c r="TKG264" s="297"/>
      <c r="TKH264" s="297"/>
      <c r="TKI264" s="297"/>
      <c r="TKJ264" s="297"/>
      <c r="TKK264" s="297"/>
      <c r="TKL264" s="297"/>
      <c r="TKM264" s="297"/>
      <c r="TKN264" s="297"/>
      <c r="TKO264" s="297"/>
      <c r="TKP264" s="297"/>
      <c r="TKQ264" s="297"/>
      <c r="TKR264" s="297"/>
      <c r="TKS264" s="297"/>
      <c r="TKT264" s="297"/>
      <c r="TKU264" s="297"/>
      <c r="TKV264" s="297"/>
      <c r="TKW264" s="297"/>
      <c r="TKX264" s="297"/>
      <c r="TKY264" s="297"/>
      <c r="TKZ264" s="297"/>
      <c r="TLA264" s="297"/>
      <c r="TLB264" s="297"/>
      <c r="TLC264" s="297"/>
      <c r="TLD264" s="297"/>
      <c r="TLE264" s="297"/>
      <c r="TLF264" s="297"/>
      <c r="TLG264" s="297"/>
      <c r="TLH264" s="297"/>
      <c r="TLI264" s="297"/>
      <c r="TLJ264" s="297"/>
      <c r="TLK264" s="297"/>
      <c r="TLL264" s="297"/>
      <c r="TLM264" s="297"/>
      <c r="TLN264" s="297"/>
      <c r="TLO264" s="297"/>
      <c r="TLP264" s="297"/>
      <c r="TLQ264" s="297"/>
      <c r="TLR264" s="297"/>
      <c r="TLS264" s="297"/>
      <c r="TLT264" s="297"/>
      <c r="TLU264" s="297"/>
      <c r="TLV264" s="297"/>
      <c r="TLW264" s="297"/>
      <c r="TLX264" s="297"/>
      <c r="TLY264" s="297"/>
      <c r="TLZ264" s="297"/>
      <c r="TMA264" s="297"/>
      <c r="TMB264" s="297"/>
      <c r="TMC264" s="297"/>
      <c r="TMD264" s="297"/>
      <c r="TME264" s="297"/>
      <c r="TMF264" s="297"/>
      <c r="TMG264" s="297"/>
      <c r="TMH264" s="297"/>
      <c r="TMI264" s="297"/>
      <c r="TMJ264" s="297"/>
      <c r="TMK264" s="297"/>
      <c r="TML264" s="297"/>
      <c r="TMM264" s="297"/>
      <c r="TMN264" s="297"/>
      <c r="TMO264" s="297"/>
      <c r="TMP264" s="297"/>
      <c r="TMQ264" s="297"/>
      <c r="TMR264" s="297"/>
      <c r="TMS264" s="297"/>
      <c r="TMT264" s="297"/>
      <c r="TMU264" s="297"/>
      <c r="TMV264" s="297"/>
      <c r="TMW264" s="297"/>
      <c r="TMX264" s="297"/>
      <c r="TMY264" s="297"/>
      <c r="TMZ264" s="297"/>
      <c r="TNA264" s="297"/>
      <c r="TNB264" s="297"/>
      <c r="TNC264" s="297"/>
      <c r="TND264" s="297"/>
      <c r="TNE264" s="297"/>
      <c r="TNF264" s="297"/>
      <c r="TNG264" s="297"/>
      <c r="TNH264" s="297"/>
      <c r="TNI264" s="297"/>
      <c r="TNJ264" s="297"/>
      <c r="TNK264" s="297"/>
      <c r="TNL264" s="297"/>
      <c r="TNM264" s="297"/>
      <c r="TNN264" s="297"/>
      <c r="TNO264" s="297"/>
      <c r="TNP264" s="297"/>
      <c r="TNQ264" s="297"/>
      <c r="TNR264" s="297"/>
      <c r="TNS264" s="297"/>
      <c r="TNT264" s="297"/>
      <c r="TNU264" s="297"/>
      <c r="TNV264" s="297"/>
      <c r="TNW264" s="297"/>
      <c r="TNX264" s="297"/>
      <c r="TNY264" s="297"/>
      <c r="TNZ264" s="297"/>
      <c r="TOA264" s="297"/>
      <c r="TOB264" s="297"/>
      <c r="TOC264" s="297"/>
      <c r="TOD264" s="297"/>
      <c r="TOE264" s="297"/>
      <c r="TOF264" s="297"/>
      <c r="TOG264" s="297"/>
      <c r="TOH264" s="297"/>
      <c r="TOI264" s="297"/>
      <c r="TOJ264" s="297"/>
      <c r="TOK264" s="297"/>
      <c r="TOL264" s="297"/>
      <c r="TOM264" s="297"/>
      <c r="TON264" s="297"/>
      <c r="TOO264" s="297"/>
      <c r="TOP264" s="297"/>
      <c r="TOQ264" s="297"/>
      <c r="TOR264" s="297"/>
      <c r="TOS264" s="297"/>
      <c r="TOT264" s="297"/>
      <c r="TOU264" s="297"/>
      <c r="TOV264" s="297"/>
      <c r="TOW264" s="297"/>
      <c r="TOX264" s="297"/>
      <c r="TOY264" s="297"/>
      <c r="TOZ264" s="297"/>
      <c r="TPA264" s="297"/>
      <c r="TPB264" s="297"/>
      <c r="TPC264" s="297"/>
      <c r="TPD264" s="297"/>
      <c r="TPE264" s="297"/>
      <c r="TPF264" s="297"/>
      <c r="TPG264" s="297"/>
      <c r="TPH264" s="297"/>
      <c r="TPI264" s="297"/>
      <c r="TPJ264" s="297"/>
      <c r="TPK264" s="297"/>
      <c r="TPL264" s="297"/>
      <c r="TPM264" s="297"/>
      <c r="TPN264" s="297"/>
      <c r="TPO264" s="297"/>
      <c r="TPP264" s="297"/>
      <c r="TPQ264" s="297"/>
      <c r="TPR264" s="297"/>
      <c r="TPS264" s="297"/>
      <c r="TPT264" s="297"/>
      <c r="TPU264" s="297"/>
      <c r="TPV264" s="297"/>
      <c r="TPW264" s="297"/>
      <c r="TPX264" s="297"/>
      <c r="TPY264" s="297"/>
      <c r="TPZ264" s="297"/>
      <c r="TQA264" s="297"/>
      <c r="TQB264" s="297"/>
      <c r="TQC264" s="297"/>
      <c r="TQD264" s="297"/>
      <c r="TQE264" s="297"/>
      <c r="TQF264" s="297"/>
      <c r="TQG264" s="297"/>
      <c r="TQH264" s="297"/>
      <c r="TQI264" s="297"/>
      <c r="TQJ264" s="297"/>
      <c r="TQK264" s="297"/>
      <c r="TQL264" s="297"/>
      <c r="TQM264" s="297"/>
      <c r="TQN264" s="297"/>
      <c r="TQO264" s="297"/>
      <c r="TQP264" s="297"/>
      <c r="TQQ264" s="297"/>
      <c r="TQR264" s="297"/>
      <c r="TQS264" s="297"/>
      <c r="TQT264" s="297"/>
      <c r="TQU264" s="297"/>
      <c r="TQV264" s="297"/>
      <c r="TQW264" s="297"/>
      <c r="TQX264" s="297"/>
      <c r="TQY264" s="297"/>
      <c r="TQZ264" s="297"/>
      <c r="TRA264" s="297"/>
      <c r="TRB264" s="297"/>
      <c r="TRC264" s="297"/>
      <c r="TRD264" s="297"/>
      <c r="TRE264" s="297"/>
      <c r="TRF264" s="297"/>
      <c r="TRG264" s="297"/>
      <c r="TRH264" s="297"/>
      <c r="TRI264" s="297"/>
      <c r="TRJ264" s="297"/>
      <c r="TRK264" s="297"/>
      <c r="TRL264" s="297"/>
      <c r="TRM264" s="297"/>
      <c r="TRN264" s="297"/>
      <c r="TRO264" s="297"/>
      <c r="TRP264" s="297"/>
      <c r="TRQ264" s="297"/>
      <c r="TRR264" s="297"/>
      <c r="TRS264" s="297"/>
      <c r="TRT264" s="297"/>
      <c r="TRU264" s="297"/>
      <c r="TRV264" s="297"/>
      <c r="TRW264" s="297"/>
      <c r="TRX264" s="297"/>
      <c r="TRY264" s="297"/>
      <c r="TRZ264" s="297"/>
      <c r="TSA264" s="297"/>
      <c r="TSB264" s="297"/>
      <c r="TSC264" s="297"/>
      <c r="TSD264" s="297"/>
      <c r="TSE264" s="297"/>
      <c r="TSF264" s="297"/>
      <c r="TSG264" s="297"/>
      <c r="TSH264" s="297"/>
      <c r="TSI264" s="297"/>
      <c r="TSJ264" s="297"/>
      <c r="TSK264" s="297"/>
      <c r="TSL264" s="297"/>
      <c r="TSM264" s="297"/>
      <c r="TSN264" s="297"/>
      <c r="TSO264" s="297"/>
      <c r="TSP264" s="297"/>
      <c r="TSQ264" s="297"/>
      <c r="TSR264" s="297"/>
      <c r="TSS264" s="297"/>
      <c r="TST264" s="297"/>
      <c r="TSU264" s="297"/>
      <c r="TSV264" s="297"/>
      <c r="TSW264" s="297"/>
      <c r="TSX264" s="297"/>
      <c r="TSY264" s="297"/>
      <c r="TSZ264" s="297"/>
      <c r="TTA264" s="297"/>
      <c r="TTB264" s="297"/>
      <c r="TTC264" s="297"/>
      <c r="TTD264" s="297"/>
      <c r="TTE264" s="297"/>
      <c r="TTF264" s="297"/>
      <c r="TTG264" s="297"/>
      <c r="TTH264" s="297"/>
      <c r="TTI264" s="297"/>
      <c r="TTJ264" s="297"/>
      <c r="TTK264" s="297"/>
      <c r="TTL264" s="297"/>
      <c r="TTM264" s="297"/>
      <c r="TTN264" s="297"/>
      <c r="TTO264" s="297"/>
      <c r="TTP264" s="297"/>
      <c r="TTQ264" s="297"/>
      <c r="TTR264" s="297"/>
      <c r="TTS264" s="297"/>
      <c r="TTT264" s="297"/>
      <c r="TTU264" s="297"/>
      <c r="TTV264" s="297"/>
      <c r="TTW264" s="297"/>
      <c r="TTX264" s="297"/>
      <c r="TTY264" s="297"/>
      <c r="TTZ264" s="297"/>
      <c r="TUA264" s="297"/>
      <c r="TUB264" s="297"/>
      <c r="TUC264" s="297"/>
      <c r="TUD264" s="297"/>
      <c r="TUE264" s="297"/>
      <c r="TUF264" s="297"/>
      <c r="TUG264" s="297"/>
      <c r="TUH264" s="297"/>
      <c r="TUI264" s="297"/>
      <c r="TUJ264" s="297"/>
      <c r="TUK264" s="297"/>
      <c r="TUL264" s="297"/>
      <c r="TUM264" s="297"/>
      <c r="TUN264" s="297"/>
      <c r="TUO264" s="297"/>
      <c r="TUP264" s="297"/>
      <c r="TUQ264" s="297"/>
      <c r="TUR264" s="297"/>
      <c r="TUS264" s="297"/>
      <c r="TUT264" s="297"/>
      <c r="TUU264" s="297"/>
      <c r="TUV264" s="297"/>
      <c r="TUW264" s="297"/>
      <c r="TUX264" s="297"/>
      <c r="TUY264" s="297"/>
      <c r="TUZ264" s="297"/>
      <c r="TVA264" s="297"/>
      <c r="TVB264" s="297"/>
      <c r="TVC264" s="297"/>
      <c r="TVD264" s="297"/>
      <c r="TVE264" s="297"/>
      <c r="TVF264" s="297"/>
      <c r="TVG264" s="297"/>
      <c r="TVH264" s="297"/>
      <c r="TVI264" s="297"/>
      <c r="TVJ264" s="297"/>
      <c r="TVK264" s="297"/>
      <c r="TVL264" s="297"/>
      <c r="TVM264" s="297"/>
      <c r="TVN264" s="297"/>
      <c r="TVO264" s="297"/>
      <c r="TVP264" s="297"/>
      <c r="TVQ264" s="297"/>
      <c r="TVR264" s="297"/>
      <c r="TVS264" s="297"/>
      <c r="TVT264" s="297"/>
      <c r="TVU264" s="297"/>
      <c r="TVV264" s="297"/>
      <c r="TVW264" s="297"/>
      <c r="TVX264" s="297"/>
      <c r="TVY264" s="297"/>
      <c r="TVZ264" s="297"/>
      <c r="TWA264" s="297"/>
      <c r="TWB264" s="297"/>
      <c r="TWC264" s="297"/>
      <c r="TWD264" s="297"/>
      <c r="TWE264" s="297"/>
      <c r="TWF264" s="297"/>
      <c r="TWG264" s="297"/>
      <c r="TWH264" s="297"/>
      <c r="TWI264" s="297"/>
      <c r="TWJ264" s="297"/>
      <c r="TWK264" s="297"/>
      <c r="TWL264" s="297"/>
      <c r="TWM264" s="297"/>
      <c r="TWN264" s="297"/>
      <c r="TWO264" s="297"/>
      <c r="TWP264" s="297"/>
      <c r="TWQ264" s="297"/>
      <c r="TWR264" s="297"/>
      <c r="TWS264" s="297"/>
      <c r="TWT264" s="297"/>
      <c r="TWU264" s="297"/>
      <c r="TWV264" s="297"/>
      <c r="TWW264" s="297"/>
      <c r="TWX264" s="297"/>
      <c r="TWY264" s="297"/>
      <c r="TWZ264" s="297"/>
      <c r="TXA264" s="297"/>
      <c r="TXB264" s="297"/>
      <c r="TXC264" s="297"/>
      <c r="TXD264" s="297"/>
      <c r="TXE264" s="297"/>
      <c r="TXF264" s="297"/>
      <c r="TXG264" s="297"/>
      <c r="TXH264" s="297"/>
      <c r="TXI264" s="297"/>
      <c r="TXJ264" s="297"/>
      <c r="TXK264" s="297"/>
      <c r="TXL264" s="297"/>
      <c r="TXM264" s="297"/>
      <c r="TXN264" s="297"/>
      <c r="TXO264" s="297"/>
      <c r="TXP264" s="297"/>
      <c r="TXQ264" s="297"/>
      <c r="TXR264" s="297"/>
      <c r="TXS264" s="297"/>
      <c r="TXT264" s="297"/>
      <c r="TXU264" s="297"/>
      <c r="TXV264" s="297"/>
      <c r="TXW264" s="297"/>
      <c r="TXX264" s="297"/>
      <c r="TXY264" s="297"/>
      <c r="TXZ264" s="297"/>
      <c r="TYA264" s="297"/>
      <c r="TYB264" s="297"/>
      <c r="TYC264" s="297"/>
      <c r="TYD264" s="297"/>
      <c r="TYE264" s="297"/>
      <c r="TYF264" s="297"/>
      <c r="TYG264" s="297"/>
      <c r="TYH264" s="297"/>
      <c r="TYI264" s="297"/>
      <c r="TYJ264" s="297"/>
      <c r="TYK264" s="297"/>
      <c r="TYL264" s="297"/>
      <c r="TYM264" s="297"/>
      <c r="TYN264" s="297"/>
      <c r="TYO264" s="297"/>
      <c r="TYP264" s="297"/>
      <c r="TYQ264" s="297"/>
      <c r="TYR264" s="297"/>
      <c r="TYS264" s="297"/>
      <c r="TYT264" s="297"/>
      <c r="TYU264" s="297"/>
      <c r="TYV264" s="297"/>
      <c r="TYW264" s="297"/>
      <c r="TYX264" s="297"/>
      <c r="TYY264" s="297"/>
      <c r="TYZ264" s="297"/>
      <c r="TZA264" s="297"/>
      <c r="TZB264" s="297"/>
      <c r="TZC264" s="297"/>
      <c r="TZD264" s="297"/>
      <c r="TZE264" s="297"/>
      <c r="TZF264" s="297"/>
      <c r="TZG264" s="297"/>
      <c r="TZH264" s="297"/>
      <c r="TZI264" s="297"/>
      <c r="TZJ264" s="297"/>
      <c r="TZK264" s="297"/>
      <c r="TZL264" s="297"/>
      <c r="TZM264" s="297"/>
      <c r="TZN264" s="297"/>
      <c r="TZO264" s="297"/>
      <c r="TZP264" s="297"/>
      <c r="TZQ264" s="297"/>
      <c r="TZR264" s="297"/>
      <c r="TZS264" s="297"/>
      <c r="TZT264" s="297"/>
      <c r="TZU264" s="297"/>
      <c r="TZV264" s="297"/>
      <c r="TZW264" s="297"/>
      <c r="TZX264" s="297"/>
      <c r="TZY264" s="297"/>
      <c r="TZZ264" s="297"/>
      <c r="UAA264" s="297"/>
      <c r="UAB264" s="297"/>
      <c r="UAC264" s="297"/>
      <c r="UAD264" s="297"/>
      <c r="UAE264" s="297"/>
      <c r="UAF264" s="297"/>
      <c r="UAG264" s="297"/>
      <c r="UAH264" s="297"/>
      <c r="UAI264" s="297"/>
      <c r="UAJ264" s="297"/>
      <c r="UAK264" s="297"/>
      <c r="UAL264" s="297"/>
      <c r="UAM264" s="297"/>
      <c r="UAN264" s="297"/>
      <c r="UAO264" s="297"/>
      <c r="UAP264" s="297"/>
      <c r="UAQ264" s="297"/>
      <c r="UAR264" s="297"/>
      <c r="UAS264" s="297"/>
      <c r="UAT264" s="297"/>
      <c r="UAU264" s="297"/>
      <c r="UAV264" s="297"/>
      <c r="UAW264" s="297"/>
      <c r="UAX264" s="297"/>
      <c r="UAY264" s="297"/>
      <c r="UAZ264" s="297"/>
      <c r="UBA264" s="297"/>
      <c r="UBB264" s="297"/>
      <c r="UBC264" s="297"/>
      <c r="UBD264" s="297"/>
      <c r="UBE264" s="297"/>
      <c r="UBF264" s="297"/>
      <c r="UBG264" s="297"/>
      <c r="UBH264" s="297"/>
      <c r="UBI264" s="297"/>
      <c r="UBJ264" s="297"/>
      <c r="UBK264" s="297"/>
      <c r="UBL264" s="297"/>
      <c r="UBM264" s="297"/>
      <c r="UBN264" s="297"/>
      <c r="UBO264" s="297"/>
      <c r="UBP264" s="297"/>
      <c r="UBQ264" s="297"/>
      <c r="UBR264" s="297"/>
      <c r="UBS264" s="297"/>
      <c r="UBT264" s="297"/>
      <c r="UBU264" s="297"/>
      <c r="UBV264" s="297"/>
      <c r="UBW264" s="297"/>
      <c r="UBX264" s="297"/>
      <c r="UBY264" s="297"/>
      <c r="UBZ264" s="297"/>
      <c r="UCA264" s="297"/>
      <c r="UCB264" s="297"/>
      <c r="UCC264" s="297"/>
      <c r="UCD264" s="297"/>
      <c r="UCE264" s="297"/>
      <c r="UCF264" s="297"/>
      <c r="UCG264" s="297"/>
      <c r="UCH264" s="297"/>
      <c r="UCI264" s="297"/>
      <c r="UCJ264" s="297"/>
      <c r="UCK264" s="297"/>
      <c r="UCL264" s="297"/>
      <c r="UCM264" s="297"/>
      <c r="UCN264" s="297"/>
      <c r="UCO264" s="297"/>
      <c r="UCP264" s="297"/>
      <c r="UCQ264" s="297"/>
      <c r="UCR264" s="297"/>
      <c r="UCS264" s="297"/>
      <c r="UCT264" s="297"/>
      <c r="UCU264" s="297"/>
      <c r="UCV264" s="297"/>
      <c r="UCW264" s="297"/>
      <c r="UCX264" s="297"/>
      <c r="UCY264" s="297"/>
      <c r="UCZ264" s="297"/>
      <c r="UDA264" s="297"/>
      <c r="UDB264" s="297"/>
      <c r="UDC264" s="297"/>
      <c r="UDD264" s="297"/>
      <c r="UDE264" s="297"/>
      <c r="UDF264" s="297"/>
      <c r="UDG264" s="297"/>
      <c r="UDH264" s="297"/>
      <c r="UDI264" s="297"/>
      <c r="UDJ264" s="297"/>
      <c r="UDK264" s="297"/>
      <c r="UDL264" s="297"/>
      <c r="UDM264" s="297"/>
      <c r="UDN264" s="297"/>
      <c r="UDO264" s="297"/>
      <c r="UDP264" s="297"/>
      <c r="UDQ264" s="297"/>
      <c r="UDR264" s="297"/>
      <c r="UDS264" s="297"/>
      <c r="UDT264" s="297"/>
      <c r="UDU264" s="297"/>
      <c r="UDV264" s="297"/>
      <c r="UDW264" s="297"/>
      <c r="UDX264" s="297"/>
      <c r="UDY264" s="297"/>
      <c r="UDZ264" s="297"/>
      <c r="UEA264" s="297"/>
      <c r="UEB264" s="297"/>
      <c r="UEC264" s="297"/>
      <c r="UED264" s="297"/>
      <c r="UEE264" s="297"/>
      <c r="UEF264" s="297"/>
      <c r="UEG264" s="297"/>
      <c r="UEH264" s="297"/>
      <c r="UEI264" s="297"/>
      <c r="UEJ264" s="297"/>
      <c r="UEK264" s="297"/>
      <c r="UEL264" s="297"/>
      <c r="UEM264" s="297"/>
      <c r="UEN264" s="297"/>
      <c r="UEO264" s="297"/>
      <c r="UEP264" s="297"/>
      <c r="UEQ264" s="297"/>
      <c r="UER264" s="297"/>
      <c r="UES264" s="297"/>
      <c r="UET264" s="297"/>
      <c r="UEU264" s="297"/>
      <c r="UEV264" s="297"/>
      <c r="UEW264" s="297"/>
      <c r="UEX264" s="297"/>
      <c r="UEY264" s="297"/>
      <c r="UEZ264" s="297"/>
      <c r="UFA264" s="297"/>
      <c r="UFB264" s="297"/>
      <c r="UFC264" s="297"/>
      <c r="UFD264" s="297"/>
      <c r="UFE264" s="297"/>
      <c r="UFF264" s="297"/>
      <c r="UFG264" s="297"/>
      <c r="UFH264" s="297"/>
      <c r="UFI264" s="297"/>
      <c r="UFJ264" s="297"/>
      <c r="UFK264" s="297"/>
      <c r="UFL264" s="297"/>
      <c r="UFM264" s="297"/>
      <c r="UFN264" s="297"/>
      <c r="UFO264" s="297"/>
      <c r="UFP264" s="297"/>
      <c r="UFQ264" s="297"/>
      <c r="UFR264" s="297"/>
      <c r="UFS264" s="297"/>
      <c r="UFT264" s="297"/>
      <c r="UFU264" s="297"/>
      <c r="UFV264" s="297"/>
      <c r="UFW264" s="297"/>
      <c r="UFX264" s="297"/>
      <c r="UFY264" s="297"/>
      <c r="UFZ264" s="297"/>
      <c r="UGA264" s="297"/>
      <c r="UGB264" s="297"/>
      <c r="UGC264" s="297"/>
      <c r="UGD264" s="297"/>
      <c r="UGE264" s="297"/>
      <c r="UGF264" s="297"/>
      <c r="UGG264" s="297"/>
      <c r="UGH264" s="297"/>
      <c r="UGI264" s="297"/>
      <c r="UGJ264" s="297"/>
      <c r="UGK264" s="297"/>
      <c r="UGL264" s="297"/>
      <c r="UGM264" s="297"/>
      <c r="UGN264" s="297"/>
      <c r="UGO264" s="297"/>
      <c r="UGP264" s="297"/>
      <c r="UGQ264" s="297"/>
      <c r="UGR264" s="297"/>
      <c r="UGS264" s="297"/>
      <c r="UGT264" s="297"/>
      <c r="UGU264" s="297"/>
      <c r="UGV264" s="297"/>
      <c r="UGW264" s="297"/>
      <c r="UGX264" s="297"/>
      <c r="UGY264" s="297"/>
      <c r="UGZ264" s="297"/>
      <c r="UHA264" s="297"/>
      <c r="UHB264" s="297"/>
      <c r="UHC264" s="297"/>
      <c r="UHD264" s="297"/>
      <c r="UHE264" s="297"/>
      <c r="UHF264" s="297"/>
      <c r="UHG264" s="297"/>
      <c r="UHH264" s="297"/>
      <c r="UHI264" s="297"/>
      <c r="UHJ264" s="297"/>
      <c r="UHK264" s="297"/>
      <c r="UHL264" s="297"/>
      <c r="UHM264" s="297"/>
      <c r="UHN264" s="297"/>
      <c r="UHO264" s="297"/>
      <c r="UHP264" s="297"/>
      <c r="UHQ264" s="297"/>
      <c r="UHR264" s="297"/>
      <c r="UHS264" s="297"/>
      <c r="UHT264" s="297"/>
      <c r="UHU264" s="297"/>
      <c r="UHV264" s="297"/>
      <c r="UHW264" s="297"/>
      <c r="UHX264" s="297"/>
      <c r="UHY264" s="297"/>
      <c r="UHZ264" s="297"/>
      <c r="UIA264" s="297"/>
      <c r="UIB264" s="297"/>
      <c r="UIC264" s="297"/>
      <c r="UID264" s="297"/>
      <c r="UIE264" s="297"/>
      <c r="UIF264" s="297"/>
      <c r="UIG264" s="297"/>
      <c r="UIH264" s="297"/>
      <c r="UII264" s="297"/>
      <c r="UIJ264" s="297"/>
      <c r="UIK264" s="297"/>
      <c r="UIL264" s="297"/>
      <c r="UIM264" s="297"/>
      <c r="UIN264" s="297"/>
      <c r="UIO264" s="297"/>
      <c r="UIP264" s="297"/>
      <c r="UIQ264" s="297"/>
      <c r="UIR264" s="297"/>
      <c r="UIS264" s="297"/>
      <c r="UIT264" s="297"/>
      <c r="UIU264" s="297"/>
      <c r="UIV264" s="297"/>
      <c r="UIW264" s="297"/>
      <c r="UIX264" s="297"/>
      <c r="UIY264" s="297"/>
      <c r="UIZ264" s="297"/>
      <c r="UJA264" s="297"/>
      <c r="UJB264" s="297"/>
      <c r="UJC264" s="297"/>
      <c r="UJD264" s="297"/>
      <c r="UJE264" s="297"/>
      <c r="UJF264" s="297"/>
      <c r="UJG264" s="297"/>
      <c r="UJH264" s="297"/>
      <c r="UJI264" s="297"/>
      <c r="UJJ264" s="297"/>
      <c r="UJK264" s="297"/>
      <c r="UJL264" s="297"/>
      <c r="UJM264" s="297"/>
      <c r="UJN264" s="297"/>
      <c r="UJO264" s="297"/>
      <c r="UJP264" s="297"/>
      <c r="UJQ264" s="297"/>
      <c r="UJR264" s="297"/>
      <c r="UJS264" s="297"/>
      <c r="UJT264" s="297"/>
      <c r="UJU264" s="297"/>
      <c r="UJV264" s="297"/>
      <c r="UJW264" s="297"/>
      <c r="UJX264" s="297"/>
      <c r="UJY264" s="297"/>
      <c r="UJZ264" s="297"/>
      <c r="UKA264" s="297"/>
      <c r="UKB264" s="297"/>
      <c r="UKC264" s="297"/>
      <c r="UKD264" s="297"/>
      <c r="UKE264" s="297"/>
      <c r="UKF264" s="297"/>
      <c r="UKG264" s="297"/>
      <c r="UKH264" s="297"/>
      <c r="UKI264" s="297"/>
      <c r="UKJ264" s="297"/>
      <c r="UKK264" s="297"/>
      <c r="UKL264" s="297"/>
      <c r="UKM264" s="297"/>
      <c r="UKN264" s="297"/>
      <c r="UKO264" s="297"/>
      <c r="UKP264" s="297"/>
      <c r="UKQ264" s="297"/>
      <c r="UKR264" s="297"/>
      <c r="UKS264" s="297"/>
      <c r="UKT264" s="297"/>
      <c r="UKU264" s="297"/>
      <c r="UKV264" s="297"/>
      <c r="UKW264" s="297"/>
      <c r="UKX264" s="297"/>
      <c r="UKY264" s="297"/>
      <c r="UKZ264" s="297"/>
      <c r="ULA264" s="297"/>
      <c r="ULB264" s="297"/>
      <c r="ULC264" s="297"/>
      <c r="ULD264" s="297"/>
      <c r="ULE264" s="297"/>
      <c r="ULF264" s="297"/>
      <c r="ULG264" s="297"/>
      <c r="ULH264" s="297"/>
      <c r="ULI264" s="297"/>
      <c r="ULJ264" s="297"/>
      <c r="ULK264" s="297"/>
      <c r="ULL264" s="297"/>
      <c r="ULM264" s="297"/>
      <c r="ULN264" s="297"/>
      <c r="ULO264" s="297"/>
      <c r="ULP264" s="297"/>
      <c r="ULQ264" s="297"/>
      <c r="ULR264" s="297"/>
      <c r="ULS264" s="297"/>
      <c r="ULT264" s="297"/>
      <c r="ULU264" s="297"/>
      <c r="ULV264" s="297"/>
      <c r="ULW264" s="297"/>
      <c r="ULX264" s="297"/>
      <c r="ULY264" s="297"/>
      <c r="ULZ264" s="297"/>
      <c r="UMA264" s="297"/>
      <c r="UMB264" s="297"/>
      <c r="UMC264" s="297"/>
      <c r="UMD264" s="297"/>
      <c r="UME264" s="297"/>
      <c r="UMF264" s="297"/>
      <c r="UMG264" s="297"/>
      <c r="UMH264" s="297"/>
      <c r="UMI264" s="297"/>
      <c r="UMJ264" s="297"/>
      <c r="UMK264" s="297"/>
      <c r="UML264" s="297"/>
      <c r="UMM264" s="297"/>
      <c r="UMN264" s="297"/>
      <c r="UMO264" s="297"/>
      <c r="UMP264" s="297"/>
      <c r="UMQ264" s="297"/>
      <c r="UMR264" s="297"/>
      <c r="UMS264" s="297"/>
      <c r="UMT264" s="297"/>
      <c r="UMU264" s="297"/>
      <c r="UMV264" s="297"/>
      <c r="UMW264" s="297"/>
      <c r="UMX264" s="297"/>
      <c r="UMY264" s="297"/>
      <c r="UMZ264" s="297"/>
      <c r="UNA264" s="297"/>
      <c r="UNB264" s="297"/>
      <c r="UNC264" s="297"/>
      <c r="UND264" s="297"/>
      <c r="UNE264" s="297"/>
      <c r="UNF264" s="297"/>
      <c r="UNG264" s="297"/>
      <c r="UNH264" s="297"/>
      <c r="UNI264" s="297"/>
      <c r="UNJ264" s="297"/>
      <c r="UNK264" s="297"/>
      <c r="UNL264" s="297"/>
      <c r="UNM264" s="297"/>
      <c r="UNN264" s="297"/>
      <c r="UNO264" s="297"/>
      <c r="UNP264" s="297"/>
      <c r="UNQ264" s="297"/>
      <c r="UNR264" s="297"/>
      <c r="UNS264" s="297"/>
      <c r="UNT264" s="297"/>
      <c r="UNU264" s="297"/>
      <c r="UNV264" s="297"/>
      <c r="UNW264" s="297"/>
      <c r="UNX264" s="297"/>
      <c r="UNY264" s="297"/>
      <c r="UNZ264" s="297"/>
      <c r="UOA264" s="297"/>
      <c r="UOB264" s="297"/>
      <c r="UOC264" s="297"/>
      <c r="UOD264" s="297"/>
      <c r="UOE264" s="297"/>
      <c r="UOF264" s="297"/>
      <c r="UOG264" s="297"/>
      <c r="UOH264" s="297"/>
      <c r="UOI264" s="297"/>
      <c r="UOJ264" s="297"/>
      <c r="UOK264" s="297"/>
      <c r="UOL264" s="297"/>
      <c r="UOM264" s="297"/>
      <c r="UON264" s="297"/>
      <c r="UOO264" s="297"/>
      <c r="UOP264" s="297"/>
      <c r="UOQ264" s="297"/>
      <c r="UOR264" s="297"/>
      <c r="UOS264" s="297"/>
      <c r="UOT264" s="297"/>
      <c r="UOU264" s="297"/>
      <c r="UOV264" s="297"/>
      <c r="UOW264" s="297"/>
      <c r="UOX264" s="297"/>
      <c r="UOY264" s="297"/>
      <c r="UOZ264" s="297"/>
      <c r="UPA264" s="297"/>
      <c r="UPB264" s="297"/>
      <c r="UPC264" s="297"/>
      <c r="UPD264" s="297"/>
      <c r="UPE264" s="297"/>
      <c r="UPF264" s="297"/>
      <c r="UPG264" s="297"/>
      <c r="UPH264" s="297"/>
      <c r="UPI264" s="297"/>
      <c r="UPJ264" s="297"/>
      <c r="UPK264" s="297"/>
      <c r="UPL264" s="297"/>
      <c r="UPM264" s="297"/>
      <c r="UPN264" s="297"/>
      <c r="UPO264" s="297"/>
      <c r="UPP264" s="297"/>
      <c r="UPQ264" s="297"/>
      <c r="UPR264" s="297"/>
      <c r="UPS264" s="297"/>
      <c r="UPT264" s="297"/>
      <c r="UPU264" s="297"/>
      <c r="UPV264" s="297"/>
      <c r="UPW264" s="297"/>
      <c r="UPX264" s="297"/>
      <c r="UPY264" s="297"/>
      <c r="UPZ264" s="297"/>
      <c r="UQA264" s="297"/>
      <c r="UQB264" s="297"/>
      <c r="UQC264" s="297"/>
      <c r="UQD264" s="297"/>
      <c r="UQE264" s="297"/>
      <c r="UQF264" s="297"/>
      <c r="UQG264" s="297"/>
      <c r="UQH264" s="297"/>
      <c r="UQI264" s="297"/>
      <c r="UQJ264" s="297"/>
      <c r="UQK264" s="297"/>
      <c r="UQL264" s="297"/>
      <c r="UQM264" s="297"/>
      <c r="UQN264" s="297"/>
      <c r="UQO264" s="297"/>
      <c r="UQP264" s="297"/>
      <c r="UQQ264" s="297"/>
      <c r="UQR264" s="297"/>
      <c r="UQS264" s="297"/>
      <c r="UQT264" s="297"/>
      <c r="UQU264" s="297"/>
      <c r="UQV264" s="297"/>
      <c r="UQW264" s="297"/>
      <c r="UQX264" s="297"/>
      <c r="UQY264" s="297"/>
      <c r="UQZ264" s="297"/>
      <c r="URA264" s="297"/>
      <c r="URB264" s="297"/>
      <c r="URC264" s="297"/>
      <c r="URD264" s="297"/>
      <c r="URE264" s="297"/>
      <c r="URF264" s="297"/>
      <c r="URG264" s="297"/>
      <c r="URH264" s="297"/>
      <c r="URI264" s="297"/>
      <c r="URJ264" s="297"/>
      <c r="URK264" s="297"/>
      <c r="URL264" s="297"/>
      <c r="URM264" s="297"/>
      <c r="URN264" s="297"/>
      <c r="URO264" s="297"/>
      <c r="URP264" s="297"/>
      <c r="URQ264" s="297"/>
      <c r="URR264" s="297"/>
      <c r="URS264" s="297"/>
      <c r="URT264" s="297"/>
      <c r="URU264" s="297"/>
      <c r="URV264" s="297"/>
      <c r="URW264" s="297"/>
      <c r="URX264" s="297"/>
      <c r="URY264" s="297"/>
      <c r="URZ264" s="297"/>
      <c r="USA264" s="297"/>
      <c r="USB264" s="297"/>
      <c r="USC264" s="297"/>
      <c r="USD264" s="297"/>
      <c r="USE264" s="297"/>
      <c r="USF264" s="297"/>
      <c r="USG264" s="297"/>
      <c r="USH264" s="297"/>
      <c r="USI264" s="297"/>
      <c r="USJ264" s="297"/>
      <c r="USK264" s="297"/>
      <c r="USL264" s="297"/>
      <c r="USM264" s="297"/>
      <c r="USN264" s="297"/>
      <c r="USO264" s="297"/>
      <c r="USP264" s="297"/>
      <c r="USQ264" s="297"/>
      <c r="USR264" s="297"/>
      <c r="USS264" s="297"/>
      <c r="UST264" s="297"/>
      <c r="USU264" s="297"/>
      <c r="USV264" s="297"/>
      <c r="USW264" s="297"/>
      <c r="USX264" s="297"/>
      <c r="USY264" s="297"/>
      <c r="USZ264" s="297"/>
      <c r="UTA264" s="297"/>
      <c r="UTB264" s="297"/>
      <c r="UTC264" s="297"/>
      <c r="UTD264" s="297"/>
      <c r="UTE264" s="297"/>
      <c r="UTF264" s="297"/>
      <c r="UTG264" s="297"/>
      <c r="UTH264" s="297"/>
      <c r="UTI264" s="297"/>
      <c r="UTJ264" s="297"/>
      <c r="UTK264" s="297"/>
      <c r="UTL264" s="297"/>
      <c r="UTM264" s="297"/>
      <c r="UTN264" s="297"/>
      <c r="UTO264" s="297"/>
      <c r="UTP264" s="297"/>
      <c r="UTQ264" s="297"/>
      <c r="UTR264" s="297"/>
      <c r="UTS264" s="297"/>
      <c r="UTT264" s="297"/>
      <c r="UTU264" s="297"/>
      <c r="UTV264" s="297"/>
      <c r="UTW264" s="297"/>
      <c r="UTX264" s="297"/>
      <c r="UTY264" s="297"/>
      <c r="UTZ264" s="297"/>
      <c r="UUA264" s="297"/>
      <c r="UUB264" s="297"/>
      <c r="UUC264" s="297"/>
      <c r="UUD264" s="297"/>
      <c r="UUE264" s="297"/>
      <c r="UUF264" s="297"/>
      <c r="UUG264" s="297"/>
      <c r="UUH264" s="297"/>
      <c r="UUI264" s="297"/>
      <c r="UUJ264" s="297"/>
      <c r="UUK264" s="297"/>
      <c r="UUL264" s="297"/>
      <c r="UUM264" s="297"/>
      <c r="UUN264" s="297"/>
      <c r="UUO264" s="297"/>
      <c r="UUP264" s="297"/>
      <c r="UUQ264" s="297"/>
      <c r="UUR264" s="297"/>
      <c r="UUS264" s="297"/>
      <c r="UUT264" s="297"/>
      <c r="UUU264" s="297"/>
      <c r="UUV264" s="297"/>
      <c r="UUW264" s="297"/>
      <c r="UUX264" s="297"/>
      <c r="UUY264" s="297"/>
      <c r="UUZ264" s="297"/>
      <c r="UVA264" s="297"/>
      <c r="UVB264" s="297"/>
      <c r="UVC264" s="297"/>
      <c r="UVD264" s="297"/>
      <c r="UVE264" s="297"/>
      <c r="UVF264" s="297"/>
      <c r="UVG264" s="297"/>
      <c r="UVH264" s="297"/>
      <c r="UVI264" s="297"/>
      <c r="UVJ264" s="297"/>
      <c r="UVK264" s="297"/>
      <c r="UVL264" s="297"/>
      <c r="UVM264" s="297"/>
      <c r="UVN264" s="297"/>
      <c r="UVO264" s="297"/>
      <c r="UVP264" s="297"/>
      <c r="UVQ264" s="297"/>
      <c r="UVR264" s="297"/>
      <c r="UVS264" s="297"/>
      <c r="UVT264" s="297"/>
      <c r="UVU264" s="297"/>
      <c r="UVV264" s="297"/>
      <c r="UVW264" s="297"/>
      <c r="UVX264" s="297"/>
      <c r="UVY264" s="297"/>
      <c r="UVZ264" s="297"/>
      <c r="UWA264" s="297"/>
      <c r="UWB264" s="297"/>
      <c r="UWC264" s="297"/>
      <c r="UWD264" s="297"/>
      <c r="UWE264" s="297"/>
      <c r="UWF264" s="297"/>
      <c r="UWG264" s="297"/>
      <c r="UWH264" s="297"/>
      <c r="UWI264" s="297"/>
      <c r="UWJ264" s="297"/>
      <c r="UWK264" s="297"/>
      <c r="UWL264" s="297"/>
      <c r="UWM264" s="297"/>
      <c r="UWN264" s="297"/>
      <c r="UWO264" s="297"/>
      <c r="UWP264" s="297"/>
      <c r="UWQ264" s="297"/>
      <c r="UWR264" s="297"/>
      <c r="UWS264" s="297"/>
      <c r="UWT264" s="297"/>
      <c r="UWU264" s="297"/>
      <c r="UWV264" s="297"/>
      <c r="UWW264" s="297"/>
      <c r="UWX264" s="297"/>
      <c r="UWY264" s="297"/>
      <c r="UWZ264" s="297"/>
      <c r="UXA264" s="297"/>
      <c r="UXB264" s="297"/>
      <c r="UXC264" s="297"/>
      <c r="UXD264" s="297"/>
      <c r="UXE264" s="297"/>
      <c r="UXF264" s="297"/>
      <c r="UXG264" s="297"/>
      <c r="UXH264" s="297"/>
      <c r="UXI264" s="297"/>
      <c r="UXJ264" s="297"/>
      <c r="UXK264" s="297"/>
      <c r="UXL264" s="297"/>
      <c r="UXM264" s="297"/>
      <c r="UXN264" s="297"/>
      <c r="UXO264" s="297"/>
      <c r="UXP264" s="297"/>
      <c r="UXQ264" s="297"/>
      <c r="UXR264" s="297"/>
      <c r="UXS264" s="297"/>
      <c r="UXT264" s="297"/>
      <c r="UXU264" s="297"/>
      <c r="UXV264" s="297"/>
      <c r="UXW264" s="297"/>
      <c r="UXX264" s="297"/>
      <c r="UXY264" s="297"/>
      <c r="UXZ264" s="297"/>
      <c r="UYA264" s="297"/>
      <c r="UYB264" s="297"/>
      <c r="UYC264" s="297"/>
      <c r="UYD264" s="297"/>
      <c r="UYE264" s="297"/>
      <c r="UYF264" s="297"/>
      <c r="UYG264" s="297"/>
      <c r="UYH264" s="297"/>
      <c r="UYI264" s="297"/>
      <c r="UYJ264" s="297"/>
      <c r="UYK264" s="297"/>
      <c r="UYL264" s="297"/>
      <c r="UYM264" s="297"/>
      <c r="UYN264" s="297"/>
      <c r="UYO264" s="297"/>
      <c r="UYP264" s="297"/>
      <c r="UYQ264" s="297"/>
      <c r="UYR264" s="297"/>
      <c r="UYS264" s="297"/>
      <c r="UYT264" s="297"/>
      <c r="UYU264" s="297"/>
      <c r="UYV264" s="297"/>
      <c r="UYW264" s="297"/>
      <c r="UYX264" s="297"/>
      <c r="UYY264" s="297"/>
      <c r="UYZ264" s="297"/>
      <c r="UZA264" s="297"/>
      <c r="UZB264" s="297"/>
      <c r="UZC264" s="297"/>
      <c r="UZD264" s="297"/>
      <c r="UZE264" s="297"/>
      <c r="UZF264" s="297"/>
      <c r="UZG264" s="297"/>
      <c r="UZH264" s="297"/>
      <c r="UZI264" s="297"/>
      <c r="UZJ264" s="297"/>
      <c r="UZK264" s="297"/>
      <c r="UZL264" s="297"/>
      <c r="UZM264" s="297"/>
      <c r="UZN264" s="297"/>
      <c r="UZO264" s="297"/>
      <c r="UZP264" s="297"/>
      <c r="UZQ264" s="297"/>
      <c r="UZR264" s="297"/>
      <c r="UZS264" s="297"/>
      <c r="UZT264" s="297"/>
      <c r="UZU264" s="297"/>
      <c r="UZV264" s="297"/>
      <c r="UZW264" s="297"/>
      <c r="UZX264" s="297"/>
      <c r="UZY264" s="297"/>
      <c r="UZZ264" s="297"/>
      <c r="VAA264" s="297"/>
      <c r="VAB264" s="297"/>
      <c r="VAC264" s="297"/>
      <c r="VAD264" s="297"/>
      <c r="VAE264" s="297"/>
      <c r="VAF264" s="297"/>
      <c r="VAG264" s="297"/>
      <c r="VAH264" s="297"/>
      <c r="VAI264" s="297"/>
      <c r="VAJ264" s="297"/>
      <c r="VAK264" s="297"/>
      <c r="VAL264" s="297"/>
      <c r="VAM264" s="297"/>
      <c r="VAN264" s="297"/>
      <c r="VAO264" s="297"/>
      <c r="VAP264" s="297"/>
      <c r="VAQ264" s="297"/>
      <c r="VAR264" s="297"/>
      <c r="VAS264" s="297"/>
      <c r="VAT264" s="297"/>
      <c r="VAU264" s="297"/>
      <c r="VAV264" s="297"/>
      <c r="VAW264" s="297"/>
      <c r="VAX264" s="297"/>
      <c r="VAY264" s="297"/>
      <c r="VAZ264" s="297"/>
      <c r="VBA264" s="297"/>
      <c r="VBB264" s="297"/>
      <c r="VBC264" s="297"/>
      <c r="VBD264" s="297"/>
      <c r="VBE264" s="297"/>
      <c r="VBF264" s="297"/>
      <c r="VBG264" s="297"/>
      <c r="VBH264" s="297"/>
      <c r="VBI264" s="297"/>
      <c r="VBJ264" s="297"/>
      <c r="VBK264" s="297"/>
      <c r="VBL264" s="297"/>
      <c r="VBM264" s="297"/>
      <c r="VBN264" s="297"/>
      <c r="VBO264" s="297"/>
      <c r="VBP264" s="297"/>
      <c r="VBQ264" s="297"/>
      <c r="VBR264" s="297"/>
      <c r="VBS264" s="297"/>
      <c r="VBT264" s="297"/>
      <c r="VBU264" s="297"/>
      <c r="VBV264" s="297"/>
      <c r="VBW264" s="297"/>
      <c r="VBX264" s="297"/>
      <c r="VBY264" s="297"/>
      <c r="VBZ264" s="297"/>
      <c r="VCA264" s="297"/>
      <c r="VCB264" s="297"/>
      <c r="VCC264" s="297"/>
      <c r="VCD264" s="297"/>
      <c r="VCE264" s="297"/>
      <c r="VCF264" s="297"/>
      <c r="VCG264" s="297"/>
      <c r="VCH264" s="297"/>
      <c r="VCI264" s="297"/>
      <c r="VCJ264" s="297"/>
      <c r="VCK264" s="297"/>
      <c r="VCL264" s="297"/>
      <c r="VCM264" s="297"/>
      <c r="VCN264" s="297"/>
      <c r="VCO264" s="297"/>
      <c r="VCP264" s="297"/>
      <c r="VCQ264" s="297"/>
      <c r="VCR264" s="297"/>
      <c r="VCS264" s="297"/>
      <c r="VCT264" s="297"/>
      <c r="VCU264" s="297"/>
      <c r="VCV264" s="297"/>
      <c r="VCW264" s="297"/>
      <c r="VCX264" s="297"/>
      <c r="VCY264" s="297"/>
      <c r="VCZ264" s="297"/>
      <c r="VDA264" s="297"/>
      <c r="VDB264" s="297"/>
      <c r="VDC264" s="297"/>
      <c r="VDD264" s="297"/>
      <c r="VDE264" s="297"/>
      <c r="VDF264" s="297"/>
      <c r="VDG264" s="297"/>
      <c r="VDH264" s="297"/>
      <c r="VDI264" s="297"/>
      <c r="VDJ264" s="297"/>
      <c r="VDK264" s="297"/>
      <c r="VDL264" s="297"/>
      <c r="VDM264" s="297"/>
      <c r="VDN264" s="297"/>
      <c r="VDO264" s="297"/>
      <c r="VDP264" s="297"/>
      <c r="VDQ264" s="297"/>
      <c r="VDR264" s="297"/>
      <c r="VDS264" s="297"/>
      <c r="VDT264" s="297"/>
      <c r="VDU264" s="297"/>
      <c r="VDV264" s="297"/>
      <c r="VDW264" s="297"/>
      <c r="VDX264" s="297"/>
      <c r="VDY264" s="297"/>
      <c r="VDZ264" s="297"/>
      <c r="VEA264" s="297"/>
      <c r="VEB264" s="297"/>
      <c r="VEC264" s="297"/>
      <c r="VED264" s="297"/>
      <c r="VEE264" s="297"/>
      <c r="VEF264" s="297"/>
      <c r="VEG264" s="297"/>
      <c r="VEH264" s="297"/>
      <c r="VEI264" s="297"/>
      <c r="VEJ264" s="297"/>
      <c r="VEK264" s="297"/>
      <c r="VEL264" s="297"/>
      <c r="VEM264" s="297"/>
      <c r="VEN264" s="297"/>
      <c r="VEO264" s="297"/>
      <c r="VEP264" s="297"/>
      <c r="VEQ264" s="297"/>
      <c r="VER264" s="297"/>
      <c r="VES264" s="297"/>
      <c r="VET264" s="297"/>
      <c r="VEU264" s="297"/>
      <c r="VEV264" s="297"/>
      <c r="VEW264" s="297"/>
      <c r="VEX264" s="297"/>
      <c r="VEY264" s="297"/>
      <c r="VEZ264" s="297"/>
      <c r="VFA264" s="297"/>
      <c r="VFB264" s="297"/>
      <c r="VFC264" s="297"/>
      <c r="VFD264" s="297"/>
      <c r="VFE264" s="297"/>
      <c r="VFF264" s="297"/>
      <c r="VFG264" s="297"/>
      <c r="VFH264" s="297"/>
      <c r="VFI264" s="297"/>
      <c r="VFJ264" s="297"/>
      <c r="VFK264" s="297"/>
      <c r="VFL264" s="297"/>
      <c r="VFM264" s="297"/>
      <c r="VFN264" s="297"/>
      <c r="VFO264" s="297"/>
      <c r="VFP264" s="297"/>
      <c r="VFQ264" s="297"/>
      <c r="VFR264" s="297"/>
      <c r="VFS264" s="297"/>
      <c r="VFT264" s="297"/>
      <c r="VFU264" s="297"/>
      <c r="VFV264" s="297"/>
      <c r="VFW264" s="297"/>
      <c r="VFX264" s="297"/>
      <c r="VFY264" s="297"/>
      <c r="VFZ264" s="297"/>
      <c r="VGA264" s="297"/>
      <c r="VGB264" s="297"/>
      <c r="VGC264" s="297"/>
      <c r="VGD264" s="297"/>
      <c r="VGE264" s="297"/>
      <c r="VGF264" s="297"/>
      <c r="VGG264" s="297"/>
      <c r="VGH264" s="297"/>
      <c r="VGI264" s="297"/>
      <c r="VGJ264" s="297"/>
      <c r="VGK264" s="297"/>
      <c r="VGL264" s="297"/>
      <c r="VGM264" s="297"/>
      <c r="VGN264" s="297"/>
      <c r="VGO264" s="297"/>
      <c r="VGP264" s="297"/>
      <c r="VGQ264" s="297"/>
      <c r="VGR264" s="297"/>
      <c r="VGS264" s="297"/>
      <c r="VGT264" s="297"/>
      <c r="VGU264" s="297"/>
      <c r="VGV264" s="297"/>
      <c r="VGW264" s="297"/>
      <c r="VGX264" s="297"/>
      <c r="VGY264" s="297"/>
      <c r="VGZ264" s="297"/>
      <c r="VHA264" s="297"/>
      <c r="VHB264" s="297"/>
      <c r="VHC264" s="297"/>
      <c r="VHD264" s="297"/>
      <c r="VHE264" s="297"/>
      <c r="VHF264" s="297"/>
      <c r="VHG264" s="297"/>
      <c r="VHH264" s="297"/>
      <c r="VHI264" s="297"/>
      <c r="VHJ264" s="297"/>
      <c r="VHK264" s="297"/>
      <c r="VHL264" s="297"/>
      <c r="VHM264" s="297"/>
      <c r="VHN264" s="297"/>
      <c r="VHO264" s="297"/>
      <c r="VHP264" s="297"/>
      <c r="VHQ264" s="297"/>
      <c r="VHR264" s="297"/>
      <c r="VHS264" s="297"/>
      <c r="VHT264" s="297"/>
      <c r="VHU264" s="297"/>
      <c r="VHV264" s="297"/>
      <c r="VHW264" s="297"/>
      <c r="VHX264" s="297"/>
      <c r="VHY264" s="297"/>
      <c r="VHZ264" s="297"/>
      <c r="VIA264" s="297"/>
      <c r="VIB264" s="297"/>
      <c r="VIC264" s="297"/>
      <c r="VID264" s="297"/>
      <c r="VIE264" s="297"/>
      <c r="VIF264" s="297"/>
      <c r="VIG264" s="297"/>
      <c r="VIH264" s="297"/>
      <c r="VII264" s="297"/>
      <c r="VIJ264" s="297"/>
      <c r="VIK264" s="297"/>
      <c r="VIL264" s="297"/>
      <c r="VIM264" s="297"/>
      <c r="VIN264" s="297"/>
      <c r="VIO264" s="297"/>
      <c r="VIP264" s="297"/>
      <c r="VIQ264" s="297"/>
      <c r="VIR264" s="297"/>
      <c r="VIS264" s="297"/>
      <c r="VIT264" s="297"/>
      <c r="VIU264" s="297"/>
      <c r="VIV264" s="297"/>
      <c r="VIW264" s="297"/>
      <c r="VIX264" s="297"/>
      <c r="VIY264" s="297"/>
      <c r="VIZ264" s="297"/>
      <c r="VJA264" s="297"/>
      <c r="VJB264" s="297"/>
      <c r="VJC264" s="297"/>
      <c r="VJD264" s="297"/>
      <c r="VJE264" s="297"/>
      <c r="VJF264" s="297"/>
      <c r="VJG264" s="297"/>
      <c r="VJH264" s="297"/>
      <c r="VJI264" s="297"/>
      <c r="VJJ264" s="297"/>
      <c r="VJK264" s="297"/>
      <c r="VJL264" s="297"/>
      <c r="VJM264" s="297"/>
      <c r="VJN264" s="297"/>
      <c r="VJO264" s="297"/>
      <c r="VJP264" s="297"/>
      <c r="VJQ264" s="297"/>
      <c r="VJR264" s="297"/>
      <c r="VJS264" s="297"/>
      <c r="VJT264" s="297"/>
      <c r="VJU264" s="297"/>
      <c r="VJV264" s="297"/>
      <c r="VJW264" s="297"/>
      <c r="VJX264" s="297"/>
      <c r="VJY264" s="297"/>
      <c r="VJZ264" s="297"/>
      <c r="VKA264" s="297"/>
      <c r="VKB264" s="297"/>
      <c r="VKC264" s="297"/>
      <c r="VKD264" s="297"/>
      <c r="VKE264" s="297"/>
      <c r="VKF264" s="297"/>
      <c r="VKG264" s="297"/>
      <c r="VKH264" s="297"/>
      <c r="VKI264" s="297"/>
      <c r="VKJ264" s="297"/>
      <c r="VKK264" s="297"/>
      <c r="VKL264" s="297"/>
      <c r="VKM264" s="297"/>
      <c r="VKN264" s="297"/>
      <c r="VKO264" s="297"/>
      <c r="VKP264" s="297"/>
      <c r="VKQ264" s="297"/>
      <c r="VKR264" s="297"/>
      <c r="VKS264" s="297"/>
      <c r="VKT264" s="297"/>
      <c r="VKU264" s="297"/>
      <c r="VKV264" s="297"/>
      <c r="VKW264" s="297"/>
      <c r="VKX264" s="297"/>
      <c r="VKY264" s="297"/>
      <c r="VKZ264" s="297"/>
      <c r="VLA264" s="297"/>
      <c r="VLB264" s="297"/>
      <c r="VLC264" s="297"/>
      <c r="VLD264" s="297"/>
      <c r="VLE264" s="297"/>
      <c r="VLF264" s="297"/>
      <c r="VLG264" s="297"/>
      <c r="VLH264" s="297"/>
      <c r="VLI264" s="297"/>
      <c r="VLJ264" s="297"/>
      <c r="VLK264" s="297"/>
      <c r="VLL264" s="297"/>
      <c r="VLM264" s="297"/>
      <c r="VLN264" s="297"/>
      <c r="VLO264" s="297"/>
      <c r="VLP264" s="297"/>
      <c r="VLQ264" s="297"/>
      <c r="VLR264" s="297"/>
      <c r="VLS264" s="297"/>
      <c r="VLT264" s="297"/>
      <c r="VLU264" s="297"/>
      <c r="VLV264" s="297"/>
      <c r="VLW264" s="297"/>
      <c r="VLX264" s="297"/>
      <c r="VLY264" s="297"/>
      <c r="VLZ264" s="297"/>
      <c r="VMA264" s="297"/>
      <c r="VMB264" s="297"/>
      <c r="VMC264" s="297"/>
      <c r="VMD264" s="297"/>
      <c r="VME264" s="297"/>
      <c r="VMF264" s="297"/>
      <c r="VMG264" s="297"/>
      <c r="VMH264" s="297"/>
      <c r="VMI264" s="297"/>
      <c r="VMJ264" s="297"/>
      <c r="VMK264" s="297"/>
      <c r="VML264" s="297"/>
      <c r="VMM264" s="297"/>
      <c r="VMN264" s="297"/>
      <c r="VMO264" s="297"/>
      <c r="VMP264" s="297"/>
      <c r="VMQ264" s="297"/>
      <c r="VMR264" s="297"/>
      <c r="VMS264" s="297"/>
      <c r="VMT264" s="297"/>
      <c r="VMU264" s="297"/>
      <c r="VMV264" s="297"/>
      <c r="VMW264" s="297"/>
      <c r="VMX264" s="297"/>
      <c r="VMY264" s="297"/>
      <c r="VMZ264" s="297"/>
      <c r="VNA264" s="297"/>
      <c r="VNB264" s="297"/>
      <c r="VNC264" s="297"/>
      <c r="VND264" s="297"/>
      <c r="VNE264" s="297"/>
      <c r="VNF264" s="297"/>
      <c r="VNG264" s="297"/>
      <c r="VNH264" s="297"/>
      <c r="VNI264" s="297"/>
      <c r="VNJ264" s="297"/>
      <c r="VNK264" s="297"/>
      <c r="VNL264" s="297"/>
      <c r="VNM264" s="297"/>
      <c r="VNN264" s="297"/>
      <c r="VNO264" s="297"/>
      <c r="VNP264" s="297"/>
      <c r="VNQ264" s="297"/>
      <c r="VNR264" s="297"/>
      <c r="VNS264" s="297"/>
      <c r="VNT264" s="297"/>
      <c r="VNU264" s="297"/>
      <c r="VNV264" s="297"/>
      <c r="VNW264" s="297"/>
      <c r="VNX264" s="297"/>
      <c r="VNY264" s="297"/>
      <c r="VNZ264" s="297"/>
      <c r="VOA264" s="297"/>
      <c r="VOB264" s="297"/>
      <c r="VOC264" s="297"/>
      <c r="VOD264" s="297"/>
      <c r="VOE264" s="297"/>
      <c r="VOF264" s="297"/>
      <c r="VOG264" s="297"/>
      <c r="VOH264" s="297"/>
      <c r="VOI264" s="297"/>
      <c r="VOJ264" s="297"/>
      <c r="VOK264" s="297"/>
      <c r="VOL264" s="297"/>
      <c r="VOM264" s="297"/>
      <c r="VON264" s="297"/>
      <c r="VOO264" s="297"/>
      <c r="VOP264" s="297"/>
      <c r="VOQ264" s="297"/>
      <c r="VOR264" s="297"/>
      <c r="VOS264" s="297"/>
      <c r="VOT264" s="297"/>
      <c r="VOU264" s="297"/>
      <c r="VOV264" s="297"/>
      <c r="VOW264" s="297"/>
      <c r="VOX264" s="297"/>
      <c r="VOY264" s="297"/>
      <c r="VOZ264" s="297"/>
      <c r="VPA264" s="297"/>
      <c r="VPB264" s="297"/>
      <c r="VPC264" s="297"/>
      <c r="VPD264" s="297"/>
      <c r="VPE264" s="297"/>
      <c r="VPF264" s="297"/>
      <c r="VPG264" s="297"/>
      <c r="VPH264" s="297"/>
      <c r="VPI264" s="297"/>
      <c r="VPJ264" s="297"/>
      <c r="VPK264" s="297"/>
      <c r="VPL264" s="297"/>
      <c r="VPM264" s="297"/>
      <c r="VPN264" s="297"/>
      <c r="VPO264" s="297"/>
      <c r="VPP264" s="297"/>
      <c r="VPQ264" s="297"/>
      <c r="VPR264" s="297"/>
      <c r="VPS264" s="297"/>
      <c r="VPT264" s="297"/>
      <c r="VPU264" s="297"/>
      <c r="VPV264" s="297"/>
      <c r="VPW264" s="297"/>
      <c r="VPX264" s="297"/>
      <c r="VPY264" s="297"/>
      <c r="VPZ264" s="297"/>
      <c r="VQA264" s="297"/>
      <c r="VQB264" s="297"/>
      <c r="VQC264" s="297"/>
      <c r="VQD264" s="297"/>
      <c r="VQE264" s="297"/>
      <c r="VQF264" s="297"/>
      <c r="VQG264" s="297"/>
      <c r="VQH264" s="297"/>
      <c r="VQI264" s="297"/>
      <c r="VQJ264" s="297"/>
      <c r="VQK264" s="297"/>
      <c r="VQL264" s="297"/>
      <c r="VQM264" s="297"/>
      <c r="VQN264" s="297"/>
      <c r="VQO264" s="297"/>
      <c r="VQP264" s="297"/>
      <c r="VQQ264" s="297"/>
      <c r="VQR264" s="297"/>
      <c r="VQS264" s="297"/>
      <c r="VQT264" s="297"/>
      <c r="VQU264" s="297"/>
      <c r="VQV264" s="297"/>
      <c r="VQW264" s="297"/>
      <c r="VQX264" s="297"/>
      <c r="VQY264" s="297"/>
      <c r="VQZ264" s="297"/>
      <c r="VRA264" s="297"/>
      <c r="VRB264" s="297"/>
      <c r="VRC264" s="297"/>
      <c r="VRD264" s="297"/>
      <c r="VRE264" s="297"/>
      <c r="VRF264" s="297"/>
      <c r="VRG264" s="297"/>
      <c r="VRH264" s="297"/>
      <c r="VRI264" s="297"/>
      <c r="VRJ264" s="297"/>
      <c r="VRK264" s="297"/>
      <c r="VRL264" s="297"/>
      <c r="VRM264" s="297"/>
      <c r="VRN264" s="297"/>
      <c r="VRO264" s="297"/>
      <c r="VRP264" s="297"/>
      <c r="VRQ264" s="297"/>
      <c r="VRR264" s="297"/>
      <c r="VRS264" s="297"/>
      <c r="VRT264" s="297"/>
      <c r="VRU264" s="297"/>
      <c r="VRV264" s="297"/>
      <c r="VRW264" s="297"/>
      <c r="VRX264" s="297"/>
      <c r="VRY264" s="297"/>
      <c r="VRZ264" s="297"/>
      <c r="VSA264" s="297"/>
      <c r="VSB264" s="297"/>
      <c r="VSC264" s="297"/>
      <c r="VSD264" s="297"/>
      <c r="VSE264" s="297"/>
      <c r="VSF264" s="297"/>
      <c r="VSG264" s="297"/>
      <c r="VSH264" s="297"/>
      <c r="VSI264" s="297"/>
      <c r="VSJ264" s="297"/>
      <c r="VSK264" s="297"/>
      <c r="VSL264" s="297"/>
      <c r="VSM264" s="297"/>
      <c r="VSN264" s="297"/>
      <c r="VSO264" s="297"/>
      <c r="VSP264" s="297"/>
      <c r="VSQ264" s="297"/>
      <c r="VSR264" s="297"/>
      <c r="VSS264" s="297"/>
      <c r="VST264" s="297"/>
      <c r="VSU264" s="297"/>
      <c r="VSV264" s="297"/>
      <c r="VSW264" s="297"/>
      <c r="VSX264" s="297"/>
      <c r="VSY264" s="297"/>
      <c r="VSZ264" s="297"/>
      <c r="VTA264" s="297"/>
      <c r="VTB264" s="297"/>
      <c r="VTC264" s="297"/>
      <c r="VTD264" s="297"/>
      <c r="VTE264" s="297"/>
      <c r="VTF264" s="297"/>
      <c r="VTG264" s="297"/>
      <c r="VTH264" s="297"/>
      <c r="VTI264" s="297"/>
      <c r="VTJ264" s="297"/>
      <c r="VTK264" s="297"/>
      <c r="VTL264" s="297"/>
      <c r="VTM264" s="297"/>
      <c r="VTN264" s="297"/>
      <c r="VTO264" s="297"/>
      <c r="VTP264" s="297"/>
      <c r="VTQ264" s="297"/>
      <c r="VTR264" s="297"/>
      <c r="VTS264" s="297"/>
      <c r="VTT264" s="297"/>
      <c r="VTU264" s="297"/>
      <c r="VTV264" s="297"/>
      <c r="VTW264" s="297"/>
      <c r="VTX264" s="297"/>
      <c r="VTY264" s="297"/>
      <c r="VTZ264" s="297"/>
      <c r="VUA264" s="297"/>
      <c r="VUB264" s="297"/>
      <c r="VUC264" s="297"/>
      <c r="VUD264" s="297"/>
      <c r="VUE264" s="297"/>
      <c r="VUF264" s="297"/>
      <c r="VUG264" s="297"/>
      <c r="VUH264" s="297"/>
      <c r="VUI264" s="297"/>
      <c r="VUJ264" s="297"/>
      <c r="VUK264" s="297"/>
      <c r="VUL264" s="297"/>
      <c r="VUM264" s="297"/>
      <c r="VUN264" s="297"/>
      <c r="VUO264" s="297"/>
      <c r="VUP264" s="297"/>
      <c r="VUQ264" s="297"/>
      <c r="VUR264" s="297"/>
      <c r="VUS264" s="297"/>
      <c r="VUT264" s="297"/>
      <c r="VUU264" s="297"/>
      <c r="VUV264" s="297"/>
      <c r="VUW264" s="297"/>
      <c r="VUX264" s="297"/>
      <c r="VUY264" s="297"/>
      <c r="VUZ264" s="297"/>
      <c r="VVA264" s="297"/>
      <c r="VVB264" s="297"/>
      <c r="VVC264" s="297"/>
      <c r="VVD264" s="297"/>
      <c r="VVE264" s="297"/>
      <c r="VVF264" s="297"/>
      <c r="VVG264" s="297"/>
      <c r="VVH264" s="297"/>
      <c r="VVI264" s="297"/>
      <c r="VVJ264" s="297"/>
      <c r="VVK264" s="297"/>
      <c r="VVL264" s="297"/>
      <c r="VVM264" s="297"/>
      <c r="VVN264" s="297"/>
      <c r="VVO264" s="297"/>
      <c r="VVP264" s="297"/>
      <c r="VVQ264" s="297"/>
      <c r="VVR264" s="297"/>
      <c r="VVS264" s="297"/>
      <c r="VVT264" s="297"/>
      <c r="VVU264" s="297"/>
      <c r="VVV264" s="297"/>
      <c r="VVW264" s="297"/>
      <c r="VVX264" s="297"/>
      <c r="VVY264" s="297"/>
      <c r="VVZ264" s="297"/>
      <c r="VWA264" s="297"/>
      <c r="VWB264" s="297"/>
      <c r="VWC264" s="297"/>
      <c r="VWD264" s="297"/>
      <c r="VWE264" s="297"/>
      <c r="VWF264" s="297"/>
      <c r="VWG264" s="297"/>
      <c r="VWH264" s="297"/>
      <c r="VWI264" s="297"/>
      <c r="VWJ264" s="297"/>
      <c r="VWK264" s="297"/>
      <c r="VWL264" s="297"/>
      <c r="VWM264" s="297"/>
      <c r="VWN264" s="297"/>
      <c r="VWO264" s="297"/>
      <c r="VWP264" s="297"/>
      <c r="VWQ264" s="297"/>
      <c r="VWR264" s="297"/>
      <c r="VWS264" s="297"/>
      <c r="VWT264" s="297"/>
      <c r="VWU264" s="297"/>
      <c r="VWV264" s="297"/>
      <c r="VWW264" s="297"/>
      <c r="VWX264" s="297"/>
      <c r="VWY264" s="297"/>
      <c r="VWZ264" s="297"/>
      <c r="VXA264" s="297"/>
      <c r="VXB264" s="297"/>
      <c r="VXC264" s="297"/>
      <c r="VXD264" s="297"/>
      <c r="VXE264" s="297"/>
      <c r="VXF264" s="297"/>
      <c r="VXG264" s="297"/>
      <c r="VXH264" s="297"/>
      <c r="VXI264" s="297"/>
      <c r="VXJ264" s="297"/>
      <c r="VXK264" s="297"/>
      <c r="VXL264" s="297"/>
      <c r="VXM264" s="297"/>
      <c r="VXN264" s="297"/>
      <c r="VXO264" s="297"/>
      <c r="VXP264" s="297"/>
      <c r="VXQ264" s="297"/>
      <c r="VXR264" s="297"/>
      <c r="VXS264" s="297"/>
      <c r="VXT264" s="297"/>
      <c r="VXU264" s="297"/>
      <c r="VXV264" s="297"/>
      <c r="VXW264" s="297"/>
      <c r="VXX264" s="297"/>
      <c r="VXY264" s="297"/>
      <c r="VXZ264" s="297"/>
      <c r="VYA264" s="297"/>
      <c r="VYB264" s="297"/>
      <c r="VYC264" s="297"/>
      <c r="VYD264" s="297"/>
      <c r="VYE264" s="297"/>
      <c r="VYF264" s="297"/>
      <c r="VYG264" s="297"/>
      <c r="VYH264" s="297"/>
      <c r="VYI264" s="297"/>
      <c r="VYJ264" s="297"/>
      <c r="VYK264" s="297"/>
      <c r="VYL264" s="297"/>
      <c r="VYM264" s="297"/>
      <c r="VYN264" s="297"/>
      <c r="VYO264" s="297"/>
      <c r="VYP264" s="297"/>
      <c r="VYQ264" s="297"/>
      <c r="VYR264" s="297"/>
      <c r="VYS264" s="297"/>
      <c r="VYT264" s="297"/>
      <c r="VYU264" s="297"/>
      <c r="VYV264" s="297"/>
      <c r="VYW264" s="297"/>
      <c r="VYX264" s="297"/>
      <c r="VYY264" s="297"/>
      <c r="VYZ264" s="297"/>
      <c r="VZA264" s="297"/>
      <c r="VZB264" s="297"/>
      <c r="VZC264" s="297"/>
      <c r="VZD264" s="297"/>
      <c r="VZE264" s="297"/>
      <c r="VZF264" s="297"/>
      <c r="VZG264" s="297"/>
      <c r="VZH264" s="297"/>
      <c r="VZI264" s="297"/>
      <c r="VZJ264" s="297"/>
      <c r="VZK264" s="297"/>
      <c r="VZL264" s="297"/>
      <c r="VZM264" s="297"/>
      <c r="VZN264" s="297"/>
      <c r="VZO264" s="297"/>
      <c r="VZP264" s="297"/>
      <c r="VZQ264" s="297"/>
      <c r="VZR264" s="297"/>
      <c r="VZS264" s="297"/>
      <c r="VZT264" s="297"/>
      <c r="VZU264" s="297"/>
      <c r="VZV264" s="297"/>
      <c r="VZW264" s="297"/>
      <c r="VZX264" s="297"/>
      <c r="VZY264" s="297"/>
      <c r="VZZ264" s="297"/>
      <c r="WAA264" s="297"/>
      <c r="WAB264" s="297"/>
      <c r="WAC264" s="297"/>
      <c r="WAD264" s="297"/>
      <c r="WAE264" s="297"/>
      <c r="WAF264" s="297"/>
      <c r="WAG264" s="297"/>
      <c r="WAH264" s="297"/>
      <c r="WAI264" s="297"/>
      <c r="WAJ264" s="297"/>
      <c r="WAK264" s="297"/>
      <c r="WAL264" s="297"/>
      <c r="WAM264" s="297"/>
      <c r="WAN264" s="297"/>
      <c r="WAO264" s="297"/>
      <c r="WAP264" s="297"/>
      <c r="WAQ264" s="297"/>
      <c r="WAR264" s="297"/>
      <c r="WAS264" s="297"/>
      <c r="WAT264" s="297"/>
      <c r="WAU264" s="297"/>
      <c r="WAV264" s="297"/>
      <c r="WAW264" s="297"/>
      <c r="WAX264" s="297"/>
      <c r="WAY264" s="297"/>
      <c r="WAZ264" s="297"/>
      <c r="WBA264" s="297"/>
      <c r="WBB264" s="297"/>
      <c r="WBC264" s="297"/>
      <c r="WBD264" s="297"/>
      <c r="WBE264" s="297"/>
      <c r="WBF264" s="297"/>
      <c r="WBG264" s="297"/>
      <c r="WBH264" s="297"/>
      <c r="WBI264" s="297"/>
      <c r="WBJ264" s="297"/>
      <c r="WBK264" s="297"/>
      <c r="WBL264" s="297"/>
      <c r="WBM264" s="297"/>
      <c r="WBN264" s="297"/>
      <c r="WBO264" s="297"/>
      <c r="WBP264" s="297"/>
      <c r="WBQ264" s="297"/>
      <c r="WBR264" s="297"/>
      <c r="WBS264" s="297"/>
      <c r="WBT264" s="297"/>
      <c r="WBU264" s="297"/>
      <c r="WBV264" s="297"/>
      <c r="WBW264" s="297"/>
      <c r="WBX264" s="297"/>
      <c r="WBY264" s="297"/>
      <c r="WBZ264" s="297"/>
      <c r="WCA264" s="297"/>
      <c r="WCB264" s="297"/>
      <c r="WCC264" s="297"/>
      <c r="WCD264" s="297"/>
      <c r="WCE264" s="297"/>
      <c r="WCF264" s="297"/>
      <c r="WCG264" s="297"/>
      <c r="WCH264" s="297"/>
      <c r="WCI264" s="297"/>
      <c r="WCJ264" s="297"/>
      <c r="WCK264" s="297"/>
      <c r="WCL264" s="297"/>
      <c r="WCM264" s="297"/>
      <c r="WCN264" s="297"/>
      <c r="WCO264" s="297"/>
      <c r="WCP264" s="297"/>
      <c r="WCQ264" s="297"/>
      <c r="WCR264" s="297"/>
      <c r="WCS264" s="297"/>
      <c r="WCT264" s="297"/>
      <c r="WCU264" s="297"/>
      <c r="WCV264" s="297"/>
      <c r="WCW264" s="297"/>
      <c r="WCX264" s="297"/>
      <c r="WCY264" s="297"/>
      <c r="WCZ264" s="297"/>
      <c r="WDA264" s="297"/>
      <c r="WDB264" s="297"/>
      <c r="WDC264" s="297"/>
      <c r="WDD264" s="297"/>
      <c r="WDE264" s="297"/>
      <c r="WDF264" s="297"/>
      <c r="WDG264" s="297"/>
      <c r="WDH264" s="297"/>
      <c r="WDI264" s="297"/>
      <c r="WDJ264" s="297"/>
      <c r="WDK264" s="297"/>
      <c r="WDL264" s="297"/>
      <c r="WDM264" s="297"/>
      <c r="WDN264" s="297"/>
      <c r="WDO264" s="297"/>
      <c r="WDP264" s="297"/>
      <c r="WDQ264" s="297"/>
      <c r="WDR264" s="297"/>
      <c r="WDS264" s="297"/>
      <c r="WDT264" s="297"/>
      <c r="WDU264" s="297"/>
      <c r="WDV264" s="297"/>
      <c r="WDW264" s="297"/>
      <c r="WDX264" s="297"/>
      <c r="WDY264" s="297"/>
      <c r="WDZ264" s="297"/>
      <c r="WEA264" s="297"/>
      <c r="WEB264" s="297"/>
      <c r="WEC264" s="297"/>
      <c r="WED264" s="297"/>
      <c r="WEE264" s="297"/>
      <c r="WEF264" s="297"/>
      <c r="WEG264" s="297"/>
      <c r="WEH264" s="297"/>
      <c r="WEI264" s="297"/>
      <c r="WEJ264" s="297"/>
      <c r="WEK264" s="297"/>
      <c r="WEL264" s="297"/>
      <c r="WEM264" s="297"/>
      <c r="WEN264" s="297"/>
      <c r="WEO264" s="297"/>
      <c r="WEP264" s="297"/>
      <c r="WEQ264" s="297"/>
      <c r="WER264" s="297"/>
      <c r="WES264" s="297"/>
      <c r="WET264" s="297"/>
      <c r="WEU264" s="297"/>
      <c r="WEV264" s="297"/>
      <c r="WEW264" s="297"/>
      <c r="WEX264" s="297"/>
      <c r="WEY264" s="297"/>
      <c r="WEZ264" s="297"/>
      <c r="WFA264" s="297"/>
      <c r="WFB264" s="297"/>
      <c r="WFC264" s="297"/>
      <c r="WFD264" s="297"/>
      <c r="WFE264" s="297"/>
      <c r="WFF264" s="297"/>
      <c r="WFG264" s="297"/>
      <c r="WFH264" s="297"/>
      <c r="WFI264" s="297"/>
      <c r="WFJ264" s="297"/>
      <c r="WFK264" s="297"/>
      <c r="WFL264" s="297"/>
      <c r="WFM264" s="297"/>
      <c r="WFN264" s="297"/>
      <c r="WFO264" s="297"/>
      <c r="WFP264" s="297"/>
      <c r="WFQ264" s="297"/>
      <c r="WFR264" s="297"/>
      <c r="WFS264" s="297"/>
      <c r="WFT264" s="297"/>
      <c r="WFU264" s="297"/>
      <c r="WFV264" s="297"/>
      <c r="WFW264" s="297"/>
      <c r="WFX264" s="297"/>
      <c r="WFY264" s="297"/>
      <c r="WFZ264" s="297"/>
      <c r="WGA264" s="297"/>
      <c r="WGB264" s="297"/>
      <c r="WGC264" s="297"/>
      <c r="WGD264" s="297"/>
      <c r="WGE264" s="297"/>
      <c r="WGF264" s="297"/>
      <c r="WGG264" s="297"/>
      <c r="WGH264" s="297"/>
      <c r="WGI264" s="297"/>
      <c r="WGJ264" s="297"/>
      <c r="WGK264" s="297"/>
      <c r="WGL264" s="297"/>
      <c r="WGM264" s="297"/>
      <c r="WGN264" s="297"/>
      <c r="WGO264" s="297"/>
      <c r="WGP264" s="297"/>
      <c r="WGQ264" s="297"/>
      <c r="WGR264" s="297"/>
      <c r="WGS264" s="297"/>
      <c r="WGT264" s="297"/>
      <c r="WGU264" s="297"/>
      <c r="WGV264" s="297"/>
      <c r="WGW264" s="297"/>
      <c r="WGX264" s="297"/>
      <c r="WGY264" s="297"/>
      <c r="WGZ264" s="297"/>
      <c r="WHA264" s="297"/>
      <c r="WHB264" s="297"/>
      <c r="WHC264" s="297"/>
      <c r="WHD264" s="297"/>
      <c r="WHE264" s="297"/>
      <c r="WHF264" s="297"/>
      <c r="WHG264" s="297"/>
      <c r="WHH264" s="297"/>
      <c r="WHI264" s="297"/>
      <c r="WHJ264" s="297"/>
      <c r="WHK264" s="297"/>
      <c r="WHL264" s="297"/>
      <c r="WHM264" s="297"/>
      <c r="WHN264" s="297"/>
      <c r="WHO264" s="297"/>
      <c r="WHP264" s="297"/>
      <c r="WHQ264" s="297"/>
      <c r="WHR264" s="297"/>
      <c r="WHS264" s="297"/>
      <c r="WHT264" s="297"/>
      <c r="WHU264" s="297"/>
      <c r="WHV264" s="297"/>
      <c r="WHW264" s="297"/>
      <c r="WHX264" s="297"/>
      <c r="WHY264" s="297"/>
      <c r="WHZ264" s="297"/>
      <c r="WIA264" s="297"/>
      <c r="WIB264" s="297"/>
      <c r="WIC264" s="297"/>
      <c r="WID264" s="297"/>
      <c r="WIE264" s="297"/>
      <c r="WIF264" s="297"/>
      <c r="WIG264" s="297"/>
      <c r="WIH264" s="297"/>
      <c r="WII264" s="297"/>
      <c r="WIJ264" s="297"/>
      <c r="WIK264" s="297"/>
      <c r="WIL264" s="297"/>
      <c r="WIM264" s="297"/>
      <c r="WIN264" s="297"/>
      <c r="WIO264" s="297"/>
      <c r="WIP264" s="297"/>
      <c r="WIQ264" s="297"/>
      <c r="WIR264" s="297"/>
      <c r="WIS264" s="297"/>
      <c r="WIT264" s="297"/>
      <c r="WIU264" s="297"/>
      <c r="WIV264" s="297"/>
      <c r="WIW264" s="297"/>
      <c r="WIX264" s="297"/>
      <c r="WIY264" s="297"/>
      <c r="WIZ264" s="297"/>
      <c r="WJA264" s="297"/>
      <c r="WJB264" s="297"/>
      <c r="WJC264" s="297"/>
      <c r="WJD264" s="297"/>
      <c r="WJE264" s="297"/>
      <c r="WJF264" s="297"/>
      <c r="WJG264" s="297"/>
      <c r="WJH264" s="297"/>
      <c r="WJI264" s="297"/>
      <c r="WJJ264" s="297"/>
      <c r="WJK264" s="297"/>
      <c r="WJL264" s="297"/>
      <c r="WJM264" s="297"/>
      <c r="WJN264" s="297"/>
      <c r="WJO264" s="297"/>
      <c r="WJP264" s="297"/>
      <c r="WJQ264" s="297"/>
      <c r="WJR264" s="297"/>
      <c r="WJS264" s="297"/>
      <c r="WJT264" s="297"/>
      <c r="WJU264" s="297"/>
      <c r="WJV264" s="297"/>
      <c r="WJW264" s="297"/>
      <c r="WJX264" s="297"/>
      <c r="WJY264" s="297"/>
      <c r="WJZ264" s="297"/>
      <c r="WKA264" s="297"/>
      <c r="WKB264" s="297"/>
      <c r="WKC264" s="297"/>
      <c r="WKD264" s="297"/>
      <c r="WKE264" s="297"/>
      <c r="WKF264" s="297"/>
      <c r="WKG264" s="297"/>
      <c r="WKH264" s="297"/>
      <c r="WKI264" s="297"/>
      <c r="WKJ264" s="297"/>
      <c r="WKK264" s="297"/>
      <c r="WKL264" s="297"/>
      <c r="WKM264" s="297"/>
      <c r="WKN264" s="297"/>
      <c r="WKO264" s="297"/>
      <c r="WKP264" s="297"/>
      <c r="WKQ264" s="297"/>
      <c r="WKR264" s="297"/>
      <c r="WKS264" s="297"/>
      <c r="WKT264" s="297"/>
      <c r="WKU264" s="297"/>
      <c r="WKV264" s="297"/>
      <c r="WKW264" s="297"/>
      <c r="WKX264" s="297"/>
      <c r="WKY264" s="297"/>
      <c r="WKZ264" s="297"/>
      <c r="WLA264" s="297"/>
      <c r="WLB264" s="297"/>
      <c r="WLC264" s="297"/>
      <c r="WLD264" s="297"/>
      <c r="WLE264" s="297"/>
      <c r="WLF264" s="297"/>
      <c r="WLG264" s="297"/>
      <c r="WLH264" s="297"/>
      <c r="WLI264" s="297"/>
      <c r="WLJ264" s="297"/>
      <c r="WLK264" s="297"/>
      <c r="WLL264" s="297"/>
      <c r="WLM264" s="297"/>
      <c r="WLN264" s="297"/>
      <c r="WLO264" s="297"/>
      <c r="WLP264" s="297"/>
      <c r="WLQ264" s="297"/>
      <c r="WLR264" s="297"/>
      <c r="WLS264" s="297"/>
      <c r="WLT264" s="297"/>
      <c r="WLU264" s="297"/>
      <c r="WLV264" s="297"/>
      <c r="WLW264" s="297"/>
      <c r="WLX264" s="297"/>
      <c r="WLY264" s="297"/>
      <c r="WLZ264" s="297"/>
      <c r="WMA264" s="297"/>
      <c r="WMB264" s="297"/>
      <c r="WMC264" s="297"/>
      <c r="WMD264" s="297"/>
      <c r="WME264" s="297"/>
      <c r="WMF264" s="297"/>
      <c r="WMG264" s="297"/>
      <c r="WMH264" s="297"/>
      <c r="WMI264" s="297"/>
      <c r="WMJ264" s="297"/>
      <c r="WMK264" s="297"/>
      <c r="WML264" s="297"/>
      <c r="WMM264" s="297"/>
      <c r="WMN264" s="297"/>
      <c r="WMO264" s="297"/>
      <c r="WMP264" s="297"/>
      <c r="WMQ264" s="297"/>
      <c r="WMR264" s="297"/>
      <c r="WMS264" s="297"/>
      <c r="WMT264" s="297"/>
      <c r="WMU264" s="297"/>
      <c r="WMV264" s="297"/>
      <c r="WMW264" s="297"/>
      <c r="WMX264" s="297"/>
      <c r="WMY264" s="297"/>
      <c r="WMZ264" s="297"/>
      <c r="WNA264" s="297"/>
      <c r="WNB264" s="297"/>
      <c r="WNC264" s="297"/>
      <c r="WND264" s="297"/>
      <c r="WNE264" s="297"/>
      <c r="WNF264" s="297"/>
      <c r="WNG264" s="297"/>
      <c r="WNH264" s="297"/>
      <c r="WNI264" s="297"/>
      <c r="WNJ264" s="297"/>
      <c r="WNK264" s="297"/>
      <c r="WNL264" s="297"/>
      <c r="WNM264" s="297"/>
      <c r="WNN264" s="297"/>
      <c r="WNO264" s="297"/>
      <c r="WNP264" s="297"/>
      <c r="WNQ264" s="297"/>
      <c r="WNR264" s="297"/>
      <c r="WNS264" s="297"/>
      <c r="WNT264" s="297"/>
      <c r="WNU264" s="297"/>
      <c r="WNV264" s="297"/>
      <c r="WNW264" s="297"/>
      <c r="WNX264" s="297"/>
      <c r="WNY264" s="297"/>
      <c r="WNZ264" s="297"/>
      <c r="WOA264" s="297"/>
      <c r="WOB264" s="297"/>
      <c r="WOC264" s="297"/>
      <c r="WOD264" s="297"/>
      <c r="WOE264" s="297"/>
      <c r="WOF264" s="297"/>
      <c r="WOG264" s="297"/>
      <c r="WOH264" s="297"/>
      <c r="WOI264" s="297"/>
      <c r="WOJ264" s="297"/>
      <c r="WOK264" s="297"/>
      <c r="WOL264" s="297"/>
      <c r="WOM264" s="297"/>
      <c r="WON264" s="297"/>
      <c r="WOO264" s="297"/>
      <c r="WOP264" s="297"/>
      <c r="WOQ264" s="297"/>
      <c r="WOR264" s="297"/>
      <c r="WOS264" s="297"/>
      <c r="WOT264" s="297"/>
      <c r="WOU264" s="297"/>
      <c r="WOV264" s="297"/>
      <c r="WOW264" s="297"/>
      <c r="WOX264" s="297"/>
      <c r="WOY264" s="297"/>
      <c r="WOZ264" s="297"/>
      <c r="WPA264" s="297"/>
      <c r="WPB264" s="297"/>
      <c r="WPC264" s="297"/>
      <c r="WPD264" s="297"/>
      <c r="WPE264" s="297"/>
      <c r="WPF264" s="297"/>
      <c r="WPG264" s="297"/>
      <c r="WPH264" s="297"/>
      <c r="WPI264" s="297"/>
      <c r="WPJ264" s="297"/>
      <c r="WPK264" s="297"/>
      <c r="WPL264" s="297"/>
      <c r="WPM264" s="297"/>
      <c r="WPN264" s="297"/>
      <c r="WPO264" s="297"/>
      <c r="WPP264" s="297"/>
      <c r="WPQ264" s="297"/>
      <c r="WPR264" s="297"/>
      <c r="WPS264" s="297"/>
      <c r="WPT264" s="297"/>
      <c r="WPU264" s="297"/>
      <c r="WPV264" s="297"/>
      <c r="WPW264" s="297"/>
      <c r="WPX264" s="297"/>
      <c r="WPY264" s="297"/>
      <c r="WPZ264" s="297"/>
      <c r="WQA264" s="297"/>
      <c r="WQB264" s="297"/>
      <c r="WQC264" s="297"/>
      <c r="WQD264" s="297"/>
      <c r="WQE264" s="297"/>
      <c r="WQF264" s="297"/>
      <c r="WQG264" s="297"/>
      <c r="WQH264" s="297"/>
      <c r="WQI264" s="297"/>
      <c r="WQJ264" s="297"/>
      <c r="WQK264" s="297"/>
      <c r="WQL264" s="297"/>
      <c r="WQM264" s="297"/>
      <c r="WQN264" s="297"/>
      <c r="WQO264" s="297"/>
      <c r="WQP264" s="297"/>
      <c r="WQQ264" s="297"/>
      <c r="WQR264" s="297"/>
      <c r="WQS264" s="297"/>
      <c r="WQT264" s="297"/>
      <c r="WQU264" s="297"/>
      <c r="WQV264" s="297"/>
      <c r="WQW264" s="297"/>
      <c r="WQX264" s="297"/>
      <c r="WQY264" s="297"/>
      <c r="WQZ264" s="297"/>
      <c r="WRA264" s="297"/>
      <c r="WRB264" s="297"/>
      <c r="WRC264" s="297"/>
      <c r="WRD264" s="297"/>
      <c r="WRE264" s="297"/>
      <c r="WRF264" s="297"/>
      <c r="WRG264" s="297"/>
      <c r="WRH264" s="297"/>
      <c r="WRI264" s="297"/>
      <c r="WRJ264" s="297"/>
      <c r="WRK264" s="297"/>
      <c r="WRL264" s="297"/>
      <c r="WRM264" s="297"/>
      <c r="WRN264" s="297"/>
      <c r="WRO264" s="297"/>
      <c r="WRP264" s="297"/>
      <c r="WRQ264" s="297"/>
      <c r="WRR264" s="297"/>
      <c r="WRS264" s="297"/>
      <c r="WRT264" s="297"/>
      <c r="WRU264" s="297"/>
      <c r="WRV264" s="297"/>
      <c r="WRW264" s="297"/>
      <c r="WRX264" s="297"/>
      <c r="WRY264" s="297"/>
      <c r="WRZ264" s="297"/>
      <c r="WSA264" s="297"/>
      <c r="WSB264" s="297"/>
      <c r="WSC264" s="297"/>
      <c r="WSD264" s="297"/>
      <c r="WSE264" s="297"/>
      <c r="WSF264" s="297"/>
      <c r="WSG264" s="297"/>
      <c r="WSH264" s="297"/>
      <c r="WSI264" s="297"/>
      <c r="WSJ264" s="297"/>
      <c r="WSK264" s="297"/>
      <c r="WSL264" s="297"/>
      <c r="WSM264" s="297"/>
      <c r="WSN264" s="297"/>
      <c r="WSO264" s="297"/>
      <c r="WSP264" s="297"/>
      <c r="WSQ264" s="297"/>
      <c r="WSR264" s="297"/>
      <c r="WSS264" s="297"/>
      <c r="WST264" s="297"/>
      <c r="WSU264" s="297"/>
      <c r="WSV264" s="297"/>
      <c r="WSW264" s="297"/>
      <c r="WSX264" s="297"/>
      <c r="WSY264" s="297"/>
      <c r="WSZ264" s="297"/>
      <c r="WTA264" s="297"/>
      <c r="WTB264" s="297"/>
      <c r="WTC264" s="297"/>
      <c r="WTD264" s="297"/>
      <c r="WTE264" s="297"/>
      <c r="WTF264" s="297"/>
      <c r="WTG264" s="297"/>
      <c r="WTH264" s="297"/>
      <c r="WTI264" s="297"/>
      <c r="WTJ264" s="297"/>
      <c r="WTK264" s="297"/>
      <c r="WTL264" s="297"/>
      <c r="WTM264" s="297"/>
      <c r="WTN264" s="297"/>
      <c r="WTO264" s="297"/>
      <c r="WTP264" s="297"/>
      <c r="WTQ264" s="297"/>
      <c r="WTR264" s="297"/>
      <c r="WTS264" s="297"/>
      <c r="WTT264" s="297"/>
      <c r="WTU264" s="297"/>
      <c r="WTV264" s="297"/>
      <c r="WTW264" s="297"/>
      <c r="WTX264" s="297"/>
      <c r="WTY264" s="297"/>
      <c r="WTZ264" s="297"/>
      <c r="WUA264" s="297"/>
      <c r="WUB264" s="297"/>
      <c r="WUC264" s="297"/>
      <c r="WUD264" s="297"/>
      <c r="WUE264" s="297"/>
      <c r="WUF264" s="297"/>
      <c r="WUG264" s="297"/>
      <c r="WUH264" s="297"/>
      <c r="WUI264" s="297"/>
      <c r="WUJ264" s="297"/>
      <c r="WUK264" s="297"/>
      <c r="WUL264" s="297"/>
      <c r="WUM264" s="297"/>
      <c r="WUN264" s="297"/>
      <c r="WUO264" s="297"/>
      <c r="WUP264" s="297"/>
      <c r="WUQ264" s="297"/>
      <c r="WUR264" s="297"/>
      <c r="WUS264" s="297"/>
      <c r="WUT264" s="297"/>
      <c r="WUU264" s="297"/>
      <c r="WUV264" s="297"/>
      <c r="WUW264" s="297"/>
      <c r="WUX264" s="297"/>
      <c r="WUY264" s="297"/>
      <c r="WUZ264" s="297"/>
      <c r="WVA264" s="297"/>
      <c r="WVB264" s="297"/>
      <c r="WVC264" s="297"/>
      <c r="WVD264" s="297"/>
      <c r="WVE264" s="297"/>
      <c r="WVF264" s="297"/>
      <c r="WVG264" s="297"/>
      <c r="WVH264" s="297"/>
      <c r="WVI264" s="297"/>
      <c r="WVJ264" s="297"/>
      <c r="WVK264" s="297"/>
      <c r="WVL264" s="297"/>
      <c r="WVM264" s="297"/>
      <c r="WVN264" s="297"/>
      <c r="WVO264" s="297"/>
      <c r="WVP264" s="297"/>
      <c r="WVQ264" s="297"/>
      <c r="WVR264" s="297"/>
      <c r="WVS264" s="297"/>
      <c r="WVT264" s="297"/>
      <c r="WVU264" s="297"/>
      <c r="WVV264" s="297"/>
      <c r="WVW264" s="297"/>
      <c r="WVX264" s="297"/>
      <c r="WVY264" s="297"/>
      <c r="WVZ264" s="297"/>
      <c r="WWA264" s="297"/>
      <c r="WWB264" s="297"/>
      <c r="WWC264" s="297"/>
      <c r="WWD264" s="297"/>
      <c r="WWE264" s="297"/>
      <c r="WWF264" s="297"/>
      <c r="WWG264" s="297"/>
      <c r="WWH264" s="297"/>
      <c r="WWI264" s="297"/>
      <c r="WWJ264" s="297"/>
      <c r="WWK264" s="297"/>
      <c r="WWL264" s="297"/>
      <c r="WWM264" s="297"/>
      <c r="WWN264" s="297"/>
      <c r="WWO264" s="297"/>
      <c r="WWP264" s="297"/>
      <c r="WWQ264" s="297"/>
      <c r="WWR264" s="297"/>
      <c r="WWS264" s="297"/>
      <c r="WWT264" s="297"/>
      <c r="WWU264" s="297"/>
      <c r="WWV264" s="297"/>
      <c r="WWW264" s="297"/>
      <c r="WWX264" s="297"/>
      <c r="WWY264" s="297"/>
      <c r="WWZ264" s="297"/>
      <c r="WXA264" s="297"/>
      <c r="WXB264" s="297"/>
      <c r="WXC264" s="297"/>
      <c r="WXD264" s="297"/>
      <c r="WXE264" s="297"/>
      <c r="WXF264" s="297"/>
      <c r="WXG264" s="297"/>
      <c r="WXH264" s="297"/>
      <c r="WXI264" s="297"/>
      <c r="WXJ264" s="297"/>
      <c r="WXK264" s="297"/>
      <c r="WXL264" s="297"/>
      <c r="WXM264" s="297"/>
      <c r="WXN264" s="297"/>
      <c r="WXO264" s="297"/>
      <c r="WXP264" s="297"/>
      <c r="WXQ264" s="297"/>
      <c r="WXR264" s="297"/>
      <c r="WXS264" s="297"/>
      <c r="WXT264" s="297"/>
      <c r="WXU264" s="297"/>
      <c r="WXV264" s="297"/>
      <c r="WXW264" s="297"/>
      <c r="WXX264" s="297"/>
      <c r="WXY264" s="297"/>
      <c r="WXZ264" s="297"/>
      <c r="WYA264" s="297"/>
      <c r="WYB264" s="297"/>
      <c r="WYC264" s="297"/>
      <c r="WYD264" s="297"/>
      <c r="WYE264" s="297"/>
      <c r="WYF264" s="297"/>
      <c r="WYG264" s="297"/>
      <c r="WYH264" s="297"/>
      <c r="WYI264" s="297"/>
      <c r="WYJ264" s="297"/>
      <c r="WYK264" s="297"/>
      <c r="WYL264" s="297"/>
      <c r="WYM264" s="297"/>
      <c r="WYN264" s="297"/>
      <c r="WYO264" s="297"/>
      <c r="WYP264" s="297"/>
      <c r="WYQ264" s="297"/>
      <c r="WYR264" s="297"/>
      <c r="WYS264" s="297"/>
      <c r="WYT264" s="297"/>
      <c r="WYU264" s="297"/>
      <c r="WYV264" s="297"/>
      <c r="WYW264" s="297"/>
      <c r="WYX264" s="297"/>
      <c r="WYY264" s="297"/>
      <c r="WYZ264" s="297"/>
      <c r="WZA264" s="297"/>
      <c r="WZB264" s="297"/>
      <c r="WZC264" s="297"/>
      <c r="WZD264" s="297"/>
      <c r="WZE264" s="297"/>
      <c r="WZF264" s="297"/>
      <c r="WZG264" s="297"/>
      <c r="WZH264" s="297"/>
      <c r="WZI264" s="297"/>
      <c r="WZJ264" s="297"/>
      <c r="WZK264" s="297"/>
      <c r="WZL264" s="297"/>
      <c r="WZM264" s="297"/>
      <c r="WZN264" s="297"/>
      <c r="WZO264" s="297"/>
      <c r="WZP264" s="297"/>
      <c r="WZQ264" s="297"/>
      <c r="WZR264" s="297"/>
      <c r="WZS264" s="297"/>
      <c r="WZT264" s="297"/>
      <c r="WZU264" s="297"/>
      <c r="WZV264" s="297"/>
      <c r="WZW264" s="297"/>
      <c r="WZX264" s="297"/>
      <c r="WZY264" s="297"/>
      <c r="WZZ264" s="297"/>
      <c r="XAA264" s="297"/>
      <c r="XAB264" s="297"/>
      <c r="XAC264" s="297"/>
      <c r="XAD264" s="297"/>
      <c r="XAE264" s="297"/>
      <c r="XAF264" s="297"/>
      <c r="XAG264" s="297"/>
      <c r="XAH264" s="297"/>
      <c r="XAI264" s="297"/>
      <c r="XAJ264" s="297"/>
      <c r="XAK264" s="297"/>
      <c r="XAL264" s="297"/>
      <c r="XAM264" s="297"/>
      <c r="XAN264" s="297"/>
      <c r="XAO264" s="297"/>
      <c r="XAP264" s="297"/>
      <c r="XAQ264" s="297"/>
      <c r="XAR264" s="297"/>
      <c r="XAS264" s="297"/>
      <c r="XAT264" s="297"/>
      <c r="XAU264" s="297"/>
      <c r="XAV264" s="297"/>
      <c r="XAW264" s="297"/>
      <c r="XAX264" s="297"/>
      <c r="XAY264" s="297"/>
      <c r="XAZ264" s="297"/>
      <c r="XBA264" s="297"/>
      <c r="XBB264" s="297"/>
      <c r="XBC264" s="297"/>
      <c r="XBD264" s="297"/>
      <c r="XBE264" s="297"/>
      <c r="XBF264" s="297"/>
      <c r="XBG264" s="297"/>
      <c r="XBH264" s="297"/>
      <c r="XBI264" s="297"/>
      <c r="XBJ264" s="297"/>
      <c r="XBK264" s="297"/>
      <c r="XBL264" s="297"/>
      <c r="XBM264" s="297"/>
      <c r="XBN264" s="297"/>
      <c r="XBO264" s="297"/>
      <c r="XBP264" s="297"/>
      <c r="XBQ264" s="297"/>
      <c r="XBR264" s="297"/>
      <c r="XBS264" s="297"/>
      <c r="XBT264" s="297"/>
      <c r="XBU264" s="297"/>
      <c r="XBV264" s="297"/>
      <c r="XBW264" s="297"/>
      <c r="XBX264" s="297"/>
      <c r="XBY264" s="297"/>
      <c r="XBZ264" s="297"/>
      <c r="XCA264" s="297"/>
      <c r="XCB264" s="297"/>
      <c r="XCC264" s="297"/>
      <c r="XCD264" s="297"/>
      <c r="XCE264" s="297"/>
      <c r="XCF264" s="297"/>
      <c r="XCG264" s="297"/>
      <c r="XCH264" s="297"/>
      <c r="XCI264" s="297"/>
      <c r="XCJ264" s="297"/>
      <c r="XCK264" s="297"/>
      <c r="XCL264" s="297"/>
      <c r="XCM264" s="297"/>
      <c r="XCN264" s="297"/>
      <c r="XCO264" s="297"/>
      <c r="XCP264" s="297"/>
      <c r="XCQ264" s="297"/>
      <c r="XCR264" s="297"/>
      <c r="XCS264" s="297"/>
      <c r="XCT264" s="297"/>
      <c r="XCU264" s="297"/>
      <c r="XCV264" s="297"/>
      <c r="XCW264" s="297"/>
      <c r="XCX264" s="297"/>
      <c r="XCY264" s="297"/>
      <c r="XCZ264" s="297"/>
      <c r="XDA264" s="297"/>
      <c r="XDB264" s="297"/>
      <c r="XDC264" s="297"/>
    </row>
    <row r="265" spans="1:16331" s="294" customFormat="1" ht="12" customHeight="1" x14ac:dyDescent="0.25">
      <c r="A265" s="175" t="s">
        <v>88</v>
      </c>
      <c r="E265" s="287"/>
      <c r="F265" s="295"/>
      <c r="G265" s="303"/>
      <c r="H265" s="303"/>
      <c r="I265" s="303"/>
      <c r="J265" s="303"/>
      <c r="K265" s="289"/>
      <c r="L265" s="305"/>
      <c r="O265" s="306"/>
      <c r="P265" s="306"/>
      <c r="Q265" s="321"/>
    </row>
    <row r="266" spans="1:16331" s="294" customFormat="1" ht="12" customHeight="1" x14ac:dyDescent="0.25">
      <c r="A266" s="175" t="s">
        <v>157</v>
      </c>
      <c r="B266" s="309"/>
      <c r="C266" s="309"/>
      <c r="D266" s="309"/>
      <c r="E266" s="309"/>
      <c r="F266" s="309"/>
      <c r="G266" s="295"/>
      <c r="H266" s="310"/>
      <c r="I266" s="310"/>
      <c r="J266" s="295"/>
      <c r="K266" s="311"/>
      <c r="L266" s="305"/>
      <c r="Q266" s="321"/>
    </row>
    <row r="267" spans="1:16331" s="294" customFormat="1" ht="12" customHeight="1" x14ac:dyDescent="0.25">
      <c r="A267" s="175"/>
      <c r="B267" s="309"/>
      <c r="C267" s="309"/>
      <c r="D267" s="309"/>
      <c r="E267" s="309"/>
      <c r="F267" s="309"/>
      <c r="G267" s="295"/>
      <c r="H267" s="310"/>
      <c r="I267" s="310"/>
      <c r="J267" s="295"/>
      <c r="K267" s="311"/>
      <c r="L267" s="305"/>
      <c r="Q267" s="321"/>
    </row>
    <row r="268" spans="1:16331" s="294" customFormat="1" ht="12" customHeight="1" x14ac:dyDescent="0.25">
      <c r="A268" s="175"/>
      <c r="B268" s="309"/>
      <c r="C268" s="309"/>
      <c r="D268" s="309"/>
      <c r="E268" s="309"/>
      <c r="F268" s="309"/>
      <c r="G268" s="295"/>
      <c r="H268" s="310"/>
      <c r="I268" s="310"/>
      <c r="J268" s="295"/>
      <c r="K268" s="311"/>
      <c r="L268" s="305"/>
      <c r="Q268" s="321"/>
    </row>
    <row r="269" spans="1:16331" s="294" customFormat="1" ht="12" customHeight="1" x14ac:dyDescent="0.25">
      <c r="A269" s="175"/>
      <c r="B269" s="309"/>
      <c r="C269" s="309"/>
      <c r="D269" s="309"/>
      <c r="E269" s="309"/>
      <c r="F269" s="309"/>
      <c r="G269" s="295"/>
      <c r="H269" s="310"/>
      <c r="I269" s="310"/>
      <c r="J269" s="295"/>
      <c r="K269" s="311"/>
      <c r="L269" s="305"/>
      <c r="Q269" s="321"/>
    </row>
    <row r="270" spans="1:16331" s="294" customFormat="1" ht="12" customHeight="1" x14ac:dyDescent="0.2">
      <c r="A270" s="395" t="s">
        <v>151</v>
      </c>
      <c r="B270" s="395"/>
      <c r="C270" s="395"/>
      <c r="D270" s="395"/>
      <c r="E270" s="395"/>
      <c r="F270" s="395"/>
      <c r="G270" s="395"/>
      <c r="H270" s="395"/>
      <c r="I270" s="395"/>
      <c r="J270" s="395"/>
      <c r="K270" s="395"/>
      <c r="L270" s="395"/>
      <c r="M270" s="395"/>
      <c r="N270" s="395"/>
      <c r="O270" s="395"/>
      <c r="Q270" s="321"/>
    </row>
    <row r="271" spans="1:16331" s="4" customFormat="1" ht="14.25" customHeight="1" x14ac:dyDescent="0.25">
      <c r="A271" s="395" t="s">
        <v>159</v>
      </c>
      <c r="B271" s="395"/>
      <c r="C271" s="395"/>
      <c r="D271" s="395"/>
      <c r="E271" s="395"/>
      <c r="F271" s="395"/>
      <c r="G271" s="395"/>
      <c r="H271" s="395"/>
      <c r="I271" s="395"/>
      <c r="J271" s="395"/>
      <c r="K271" s="395"/>
      <c r="L271" s="395"/>
      <c r="M271" s="395"/>
      <c r="N271" s="395"/>
      <c r="O271" s="395"/>
      <c r="Q271" s="321"/>
    </row>
    <row r="272" spans="1:16331" s="4" customFormat="1" ht="14.25" customHeight="1" x14ac:dyDescent="0.25">
      <c r="A272" s="380"/>
      <c r="B272" s="380"/>
      <c r="C272" s="380"/>
      <c r="D272" s="380"/>
      <c r="E272" s="380"/>
      <c r="F272" s="380"/>
      <c r="G272" s="380"/>
      <c r="H272" s="380"/>
      <c r="I272" s="380"/>
      <c r="J272" s="380"/>
      <c r="K272" s="380"/>
      <c r="L272" s="380"/>
      <c r="M272" s="380"/>
      <c r="N272" s="380"/>
      <c r="O272" s="380"/>
      <c r="Q272" s="321"/>
    </row>
    <row r="273" spans="1:17" s="4" customFormat="1" ht="15.75" thickBot="1" x14ac:dyDescent="0.3">
      <c r="A273" s="400" t="s">
        <v>3</v>
      </c>
      <c r="B273" s="399" t="s">
        <v>160</v>
      </c>
      <c r="C273" s="399"/>
      <c r="D273" s="382"/>
      <c r="E273" s="399" t="s">
        <v>158</v>
      </c>
      <c r="F273" s="399"/>
      <c r="K273" s="221"/>
      <c r="Q273" s="321"/>
    </row>
    <row r="274" spans="1:17" s="4" customFormat="1" ht="12" customHeight="1" x14ac:dyDescent="0.25">
      <c r="A274" s="400"/>
      <c r="B274" s="324" t="s">
        <v>93</v>
      </c>
      <c r="C274" s="325" t="s">
        <v>94</v>
      </c>
      <c r="D274" s="324"/>
      <c r="E274" s="325" t="s">
        <v>93</v>
      </c>
      <c r="F274" s="324" t="s">
        <v>94</v>
      </c>
      <c r="K274" s="221"/>
      <c r="Q274" s="321"/>
    </row>
    <row r="275" spans="1:17" s="4" customFormat="1" ht="13.5" customHeight="1" x14ac:dyDescent="0.25">
      <c r="A275" s="313" t="s">
        <v>6</v>
      </c>
      <c r="B275" s="320">
        <f>B276+B322+B328</f>
        <v>313015.66362023365</v>
      </c>
      <c r="C275" s="314"/>
      <c r="D275" s="320"/>
      <c r="E275" s="314">
        <f>E276+E322+E328</f>
        <v>347031780.82513326</v>
      </c>
      <c r="F275" s="320"/>
      <c r="K275" s="221"/>
      <c r="Q275" s="321"/>
    </row>
    <row r="276" spans="1:17" s="4" customFormat="1" ht="12" customHeight="1" x14ac:dyDescent="0.25">
      <c r="A276" s="18" t="s">
        <v>7</v>
      </c>
      <c r="B276" s="366">
        <f>B278+B282+B288+B291+B295+B304+B313+B318</f>
        <v>189288.12790384801</v>
      </c>
      <c r="C276" s="366">
        <f>C278+C282+C288+C291+C295+C304+C313+C318</f>
        <v>100.00000000000001</v>
      </c>
      <c r="D276" s="366"/>
      <c r="E276" s="366">
        <f>E278+E282+E288+E291+E295+E304+E313+E318</f>
        <v>221446548.60378814</v>
      </c>
      <c r="F276" s="366">
        <f>F278+F282+F288+F291+F295+F304+F313+F318</f>
        <v>100.00000000000001</v>
      </c>
      <c r="K276" s="221"/>
      <c r="Q276" s="321"/>
    </row>
    <row r="277" spans="1:17" s="4" customFormat="1" ht="12" customHeight="1" x14ac:dyDescent="0.25">
      <c r="A277" s="18"/>
      <c r="C277" s="334"/>
      <c r="E277" s="334"/>
      <c r="K277" s="221"/>
      <c r="Q277" s="321"/>
    </row>
    <row r="278" spans="1:17" s="4" customFormat="1" ht="12" customHeight="1" x14ac:dyDescent="0.25">
      <c r="A278" s="178" t="s">
        <v>8</v>
      </c>
      <c r="B278" s="366">
        <f>SUM(B279:B281)</f>
        <v>26382.559309529857</v>
      </c>
      <c r="C278" s="343">
        <f>B278/$B$276*100</f>
        <v>13.937778138379237</v>
      </c>
      <c r="D278" s="366"/>
      <c r="E278" s="343">
        <f>SUM(E279:E281)</f>
        <v>24265776.468141273</v>
      </c>
      <c r="F278" s="366">
        <f>E278/$E$276*100</f>
        <v>10.957848122328413</v>
      </c>
      <c r="K278" s="221"/>
      <c r="Q278" s="321"/>
    </row>
    <row r="279" spans="1:17" s="4" customFormat="1" ht="22.5" customHeight="1" x14ac:dyDescent="0.25">
      <c r="A279" s="20" t="s">
        <v>9</v>
      </c>
      <c r="B279" s="345">
        <v>24550.811992582603</v>
      </c>
      <c r="C279" s="344">
        <f t="shared" ref="C279:C280" si="89">B279/$B$276*100</f>
        <v>12.9700749140768</v>
      </c>
      <c r="D279" s="345"/>
      <c r="E279" s="344">
        <v>21885595.043944865</v>
      </c>
      <c r="F279" s="366">
        <f t="shared" ref="F279:F286" si="90">E279/$E$276*100</f>
        <v>9.8830147419016878</v>
      </c>
      <c r="K279" s="221"/>
      <c r="Q279" s="321"/>
    </row>
    <row r="280" spans="1:17" s="4" customFormat="1" x14ac:dyDescent="0.25">
      <c r="A280" s="20" t="s">
        <v>10</v>
      </c>
      <c r="B280" s="345">
        <v>1831.7473169472528</v>
      </c>
      <c r="C280" s="344">
        <f t="shared" si="89"/>
        <v>0.96770322430243427</v>
      </c>
      <c r="D280" s="345"/>
      <c r="E280" s="344">
        <v>2380181.4241964053</v>
      </c>
      <c r="F280" s="366">
        <f t="shared" si="90"/>
        <v>1.0748333804267243</v>
      </c>
      <c r="K280" s="221"/>
      <c r="Q280" s="321"/>
    </row>
    <row r="281" spans="1:17" s="4" customFormat="1" ht="12" customHeight="1" x14ac:dyDescent="0.25">
      <c r="A281" s="20" t="s">
        <v>65</v>
      </c>
      <c r="B281" s="355"/>
      <c r="C281" s="343"/>
      <c r="D281" s="355"/>
      <c r="E281" s="343"/>
      <c r="F281" s="366"/>
      <c r="K281" s="221"/>
      <c r="Q281" s="321"/>
    </row>
    <row r="282" spans="1:17" s="4" customFormat="1" ht="12" customHeight="1" x14ac:dyDescent="0.25">
      <c r="A282" s="261" t="s">
        <v>11</v>
      </c>
      <c r="B282" s="366">
        <f>SUM(B283:B286)</f>
        <v>24775.939746937231</v>
      </c>
      <c r="C282" s="340">
        <f>B282/$B$276*100</f>
        <v>13.089008814922916</v>
      </c>
      <c r="D282" s="366"/>
      <c r="E282" s="366">
        <f>SUM(E283:E286)</f>
        <v>18934424.305333853</v>
      </c>
      <c r="F282" s="366">
        <f>E282/$E$276*100</f>
        <v>8.5503361532228244</v>
      </c>
      <c r="K282" s="221"/>
      <c r="Q282" s="321"/>
    </row>
    <row r="283" spans="1:17" s="4" customFormat="1" ht="12" customHeight="1" x14ac:dyDescent="0.25">
      <c r="A283" s="20" t="s">
        <v>12</v>
      </c>
      <c r="B283" s="371">
        <v>10767.355085581521</v>
      </c>
      <c r="C283" s="355">
        <f>B283/$B$276*100</f>
        <v>5.6883414743533072</v>
      </c>
      <c r="D283" s="371"/>
      <c r="E283" s="344">
        <v>8097808.1849476267</v>
      </c>
      <c r="F283" s="344">
        <f>E283/$E$276*100</f>
        <v>3.6567777804639503</v>
      </c>
      <c r="K283" s="221"/>
      <c r="Q283" s="321"/>
    </row>
    <row r="284" spans="1:17" s="4" customFormat="1" ht="12" customHeight="1" x14ac:dyDescent="0.25">
      <c r="A284" s="20" t="s">
        <v>13</v>
      </c>
      <c r="B284" s="371">
        <v>344.74987978608402</v>
      </c>
      <c r="C284" s="355">
        <f t="shared" ref="C284:C286" si="91">B284/$B$276*100</f>
        <v>0.18212968959215725</v>
      </c>
      <c r="D284" s="371"/>
      <c r="E284" s="344">
        <v>411035.85936637764</v>
      </c>
      <c r="F284" s="344">
        <f>E284/$E$276*100</f>
        <v>0.18561402828716128</v>
      </c>
      <c r="K284" s="221"/>
      <c r="Q284" s="321"/>
    </row>
    <row r="285" spans="1:17" s="4" customFormat="1" ht="1.5" customHeight="1" x14ac:dyDescent="0.25">
      <c r="A285" s="20" t="s">
        <v>14</v>
      </c>
      <c r="B285" s="371">
        <v>3865.953732888971</v>
      </c>
      <c r="C285" s="355">
        <f t="shared" si="91"/>
        <v>2.0423646087581071</v>
      </c>
      <c r="D285" s="371"/>
      <c r="E285" s="344"/>
      <c r="F285" s="344">
        <f t="shared" si="90"/>
        <v>0</v>
      </c>
      <c r="K285" s="221"/>
    </row>
    <row r="286" spans="1:17" s="4" customFormat="1" ht="13.5" customHeight="1" x14ac:dyDescent="0.25">
      <c r="A286" s="20" t="s">
        <v>15</v>
      </c>
      <c r="B286" s="371">
        <v>9797.8810486806542</v>
      </c>
      <c r="C286" s="355">
        <f t="shared" si="91"/>
        <v>5.1761730422193448</v>
      </c>
      <c r="D286" s="371"/>
      <c r="E286" s="344">
        <v>10425580.26101985</v>
      </c>
      <c r="F286" s="344">
        <f t="shared" si="90"/>
        <v>4.7079443444717146</v>
      </c>
      <c r="K286" s="221"/>
    </row>
    <row r="287" spans="1:17" s="4" customFormat="1" ht="12" customHeight="1" x14ac:dyDescent="0.25">
      <c r="A287" s="20"/>
      <c r="B287" s="342"/>
      <c r="C287" s="342"/>
      <c r="D287" s="342"/>
      <c r="E287" s="342"/>
      <c r="F287" s="366"/>
      <c r="K287" s="221"/>
    </row>
    <row r="288" spans="1:17" s="4" customFormat="1" ht="13.5" customHeight="1" x14ac:dyDescent="0.25">
      <c r="A288" s="178" t="s">
        <v>16</v>
      </c>
      <c r="B288" s="366">
        <f>SUM(B289:B290)</f>
        <v>445.73140972667665</v>
      </c>
      <c r="C288" s="343">
        <f>B288/$B$276*100</f>
        <v>0.23547774213979927</v>
      </c>
      <c r="D288" s="366"/>
      <c r="E288" s="366">
        <f>SUM(E289:E290)</f>
        <v>467880.17437409714</v>
      </c>
      <c r="F288" s="366">
        <f>E288/$E$276*100</f>
        <v>0.21128357038033033</v>
      </c>
      <c r="K288" s="221"/>
    </row>
    <row r="289" spans="1:13" s="4" customFormat="1" ht="12" customHeight="1" x14ac:dyDescent="0.25">
      <c r="A289" s="20" t="s">
        <v>154</v>
      </c>
      <c r="B289" s="351">
        <v>445.73140972667665</v>
      </c>
      <c r="C289" s="344">
        <f>B289/$B$276*100</f>
        <v>0.23547774213979927</v>
      </c>
      <c r="D289" s="351"/>
      <c r="E289" s="344">
        <v>467880.17437409714</v>
      </c>
      <c r="F289" s="344">
        <f t="shared" ref="F289" si="92">E289/$E$276*100</f>
        <v>0.21128357038033033</v>
      </c>
      <c r="K289" s="221"/>
    </row>
    <row r="290" spans="1:13" s="4" customFormat="1" ht="12" customHeight="1" x14ac:dyDescent="0.25">
      <c r="A290" s="20" t="s">
        <v>18</v>
      </c>
      <c r="B290" s="50"/>
      <c r="C290" s="344">
        <v>0</v>
      </c>
      <c r="D290" s="50"/>
      <c r="E290" s="344">
        <v>0</v>
      </c>
      <c r="F290" s="344">
        <v>0</v>
      </c>
      <c r="G290" s="344">
        <v>0</v>
      </c>
      <c r="K290" s="221"/>
    </row>
    <row r="291" spans="1:13" s="4" customFormat="1" ht="12" customHeight="1" x14ac:dyDescent="0.25">
      <c r="A291" s="178" t="s">
        <v>21</v>
      </c>
      <c r="B291" s="366">
        <f>SUM(B292:B294)</f>
        <v>4152.2920867958474</v>
      </c>
      <c r="C291" s="341">
        <f>B291/$B$276*100</f>
        <v>2.1936357725007833</v>
      </c>
      <c r="D291" s="366"/>
      <c r="E291" s="366">
        <f>SUM(E292:E294)</f>
        <v>4885947.364789837</v>
      </c>
      <c r="F291" s="366">
        <f>E291/$E$276*100</f>
        <v>2.2063777446952977</v>
      </c>
      <c r="K291" s="221"/>
    </row>
    <row r="292" spans="1:13" s="4" customFormat="1" ht="15" customHeight="1" x14ac:dyDescent="0.25">
      <c r="A292" s="20" t="s">
        <v>22</v>
      </c>
      <c r="B292" s="351">
        <v>3154.1551801107644</v>
      </c>
      <c r="C292" s="355">
        <f>B292/$B$276*100</f>
        <v>1.6663248852632582</v>
      </c>
      <c r="D292" s="351"/>
      <c r="E292" s="344">
        <v>3777384.4770376524</v>
      </c>
      <c r="F292" s="351">
        <f>E292/$E$276*100</f>
        <v>1.705777082936679</v>
      </c>
      <c r="K292" s="221"/>
    </row>
    <row r="293" spans="1:13" s="4" customFormat="1" x14ac:dyDescent="0.25">
      <c r="A293" s="20" t="s">
        <v>23</v>
      </c>
      <c r="B293" s="351">
        <v>998.13690668508332</v>
      </c>
      <c r="C293" s="355">
        <f>B293/$B$276*100</f>
        <v>0.52731088723752562</v>
      </c>
      <c r="D293" s="351"/>
      <c r="E293" s="344">
        <v>1108562.8877521844</v>
      </c>
      <c r="F293" s="351">
        <f>E293/$E$276*100</f>
        <v>0.50060066175861861</v>
      </c>
      <c r="K293" s="221"/>
    </row>
    <row r="294" spans="1:13" s="4" customFormat="1" ht="12" customHeight="1" x14ac:dyDescent="0.25">
      <c r="A294" s="20" t="s">
        <v>24</v>
      </c>
      <c r="B294" s="346"/>
      <c r="C294" s="355"/>
      <c r="D294" s="346"/>
      <c r="E294" s="344">
        <v>0</v>
      </c>
      <c r="F294" s="344">
        <v>0</v>
      </c>
      <c r="K294" s="221"/>
    </row>
    <row r="295" spans="1:13" s="4" customFormat="1" ht="12.75" customHeight="1" x14ac:dyDescent="0.25">
      <c r="A295" s="261" t="s">
        <v>25</v>
      </c>
      <c r="B295" s="366">
        <f>SUM(B296:B303)</f>
        <v>18170.134398501072</v>
      </c>
      <c r="C295" s="340">
        <f>B295/$B$276*100</f>
        <v>9.5991938848541452</v>
      </c>
      <c r="D295" s="366"/>
      <c r="E295" s="366">
        <f>SUM(E296:E303)</f>
        <v>30427815.880900465</v>
      </c>
      <c r="F295" s="366">
        <f>E295/$E$276*100</f>
        <v>13.740478717210387</v>
      </c>
      <c r="K295" s="221"/>
    </row>
    <row r="296" spans="1:13" s="4" customFormat="1" ht="12" customHeight="1" x14ac:dyDescent="0.25">
      <c r="A296" s="105" t="s">
        <v>26</v>
      </c>
      <c r="B296" s="345">
        <v>2762.0583704372712</v>
      </c>
      <c r="C296" s="355">
        <f>B296/$B$276*100</f>
        <v>1.459182042225228</v>
      </c>
      <c r="D296" s="345"/>
      <c r="E296" s="344">
        <v>4205024.333123534</v>
      </c>
      <c r="F296" s="344">
        <f>E296/$E$276*100</f>
        <v>1.8988890816479409</v>
      </c>
      <c r="K296" s="221"/>
    </row>
    <row r="297" spans="1:13" s="4" customFormat="1" ht="12" customHeight="1" x14ac:dyDescent="0.25">
      <c r="A297" s="105" t="s">
        <v>27</v>
      </c>
      <c r="B297" s="345">
        <v>1484.7920485215463</v>
      </c>
      <c r="C297" s="355">
        <f t="shared" ref="C297:C302" si="93">B297/$B$276*100</f>
        <v>0.78440843858721587</v>
      </c>
      <c r="D297" s="345"/>
      <c r="E297" s="344">
        <v>2126320.7491431315</v>
      </c>
      <c r="F297" s="344">
        <f>E297/$E$276*100</f>
        <v>0.96019593104950207</v>
      </c>
      <c r="K297" s="221"/>
    </row>
    <row r="298" spans="1:13" s="4" customFormat="1" ht="12" customHeight="1" x14ac:dyDescent="0.25">
      <c r="A298" s="105" t="s">
        <v>28</v>
      </c>
      <c r="B298" s="345">
        <v>4606.1079281548718</v>
      </c>
      <c r="C298" s="355">
        <f t="shared" si="93"/>
        <v>2.4333844806656968</v>
      </c>
      <c r="D298" s="345"/>
      <c r="E298" s="344">
        <v>9058343.1593992282</v>
      </c>
      <c r="F298" s="344">
        <f>E298/$E$276*100</f>
        <v>4.0905325535718342</v>
      </c>
      <c r="K298" s="221"/>
    </row>
    <row r="299" spans="1:13" s="4" customFormat="1" ht="12" customHeight="1" x14ac:dyDescent="0.25">
      <c r="A299" s="105" t="s">
        <v>134</v>
      </c>
      <c r="B299" s="345">
        <v>2993.5455020002041</v>
      </c>
      <c r="C299" s="355">
        <f t="shared" si="93"/>
        <v>1.5814755712100572</v>
      </c>
      <c r="D299" s="345"/>
      <c r="E299" s="344">
        <v>5825713.3411322078</v>
      </c>
      <c r="F299" s="344">
        <f>E299/$E$276*100</f>
        <v>2.6307537317077658</v>
      </c>
      <c r="K299" s="221"/>
      <c r="M299" s="355"/>
    </row>
    <row r="300" spans="1:13" s="4" customFormat="1" ht="12" customHeight="1" x14ac:dyDescent="0.25">
      <c r="A300" s="105" t="s">
        <v>30</v>
      </c>
      <c r="B300" s="345">
        <v>1617.0705553131093</v>
      </c>
      <c r="C300" s="355">
        <f t="shared" si="93"/>
        <v>0.85429053222742346</v>
      </c>
      <c r="D300" s="345"/>
      <c r="E300" s="344">
        <v>2508320.5331259337</v>
      </c>
      <c r="F300" s="344">
        <f t="shared" ref="F300:F302" si="94">E300/$E$276*100</f>
        <v>1.1326979575616767</v>
      </c>
      <c r="K300" s="221"/>
    </row>
    <row r="301" spans="1:13" s="4" customFormat="1" ht="12" customHeight="1" x14ac:dyDescent="0.25">
      <c r="A301" s="105" t="s">
        <v>31</v>
      </c>
      <c r="B301" s="345">
        <v>3906.7974340740689</v>
      </c>
      <c r="C301" s="355">
        <f t="shared" si="93"/>
        <v>2.0639421380186032</v>
      </c>
      <c r="D301" s="345"/>
      <c r="E301" s="344">
        <v>4809138.6580496356</v>
      </c>
      <c r="F301" s="344">
        <f t="shared" si="94"/>
        <v>2.1716927576298062</v>
      </c>
      <c r="K301" s="221"/>
    </row>
    <row r="302" spans="1:13" s="4" customFormat="1" ht="12" customHeight="1" x14ac:dyDescent="0.25">
      <c r="A302" s="105" t="s">
        <v>32</v>
      </c>
      <c r="B302" s="345">
        <v>799.76256000000001</v>
      </c>
      <c r="C302" s="355">
        <f t="shared" si="93"/>
        <v>0.42251068191992081</v>
      </c>
      <c r="D302" s="345"/>
      <c r="E302" s="344">
        <v>1894955.1069267944</v>
      </c>
      <c r="F302" s="344">
        <f t="shared" si="94"/>
        <v>0.8557167040418614</v>
      </c>
      <c r="K302" s="221"/>
    </row>
    <row r="303" spans="1:13" s="4" customFormat="1" ht="12" customHeight="1" x14ac:dyDescent="0.25">
      <c r="A303" s="105" t="s">
        <v>147</v>
      </c>
      <c r="B303" s="346"/>
      <c r="C303" s="355"/>
      <c r="D303" s="346"/>
      <c r="E303" s="344">
        <v>0</v>
      </c>
      <c r="F303" s="344">
        <v>0</v>
      </c>
      <c r="G303" s="344">
        <v>0</v>
      </c>
      <c r="K303" s="221"/>
    </row>
    <row r="304" spans="1:13" s="4" customFormat="1" ht="15.75" customHeight="1" x14ac:dyDescent="0.25">
      <c r="A304" s="178" t="s">
        <v>34</v>
      </c>
      <c r="B304" s="366">
        <f>SUM(B305:B312)</f>
        <v>72022.918626358078</v>
      </c>
      <c r="C304" s="340">
        <f>B304/$B$276*100</f>
        <v>38.049358627997684</v>
      </c>
      <c r="D304" s="366"/>
      <c r="E304" s="366">
        <f>SUM(E305:E312)</f>
        <v>80917221.616493866</v>
      </c>
      <c r="F304" s="366">
        <f>E304/$E$276*100</f>
        <v>36.540294769403182</v>
      </c>
      <c r="K304" s="221"/>
    </row>
    <row r="305" spans="1:11" s="4" customFormat="1" ht="13.5" customHeight="1" x14ac:dyDescent="0.25">
      <c r="A305" s="20" t="s">
        <v>35</v>
      </c>
      <c r="B305" s="345">
        <v>12036.156472077308</v>
      </c>
      <c r="C305" s="355">
        <f t="shared" ref="C305:C311" si="95">B305/$B$276*100</f>
        <v>6.3586430936605112</v>
      </c>
      <c r="D305" s="345"/>
      <c r="E305" s="344">
        <v>17714549.838821501</v>
      </c>
      <c r="F305" s="344">
        <f t="shared" ref="F305:F311" si="96">E305/$E$276*100</f>
        <v>7.9994698271483786</v>
      </c>
      <c r="K305" s="221"/>
    </row>
    <row r="306" spans="1:11" s="4" customFormat="1" ht="12" customHeight="1" x14ac:dyDescent="0.25">
      <c r="A306" s="20" t="s">
        <v>148</v>
      </c>
      <c r="B306" s="345">
        <v>1624.369946836571</v>
      </c>
      <c r="C306" s="355">
        <f t="shared" si="95"/>
        <v>0.85814676537014301</v>
      </c>
      <c r="D306" s="345"/>
      <c r="E306" s="344">
        <v>2430871.7586916438</v>
      </c>
      <c r="F306" s="344">
        <f t="shared" si="96"/>
        <v>1.0977239311329057</v>
      </c>
      <c r="K306" s="221"/>
    </row>
    <row r="307" spans="1:11" s="4" customFormat="1" ht="12" customHeight="1" x14ac:dyDescent="0.25">
      <c r="A307" s="20" t="s">
        <v>37</v>
      </c>
      <c r="B307" s="345">
        <v>6506.75471811035</v>
      </c>
      <c r="C307" s="355">
        <f t="shared" si="95"/>
        <v>3.4374869624235291</v>
      </c>
      <c r="D307" s="345"/>
      <c r="E307" s="344">
        <v>11672424.527892893</v>
      </c>
      <c r="F307" s="344">
        <f t="shared" si="96"/>
        <v>5.2709895916134499</v>
      </c>
      <c r="K307" s="221"/>
    </row>
    <row r="308" spans="1:11" s="4" customFormat="1" ht="12" customHeight="1" x14ac:dyDescent="0.25">
      <c r="A308" s="20" t="s">
        <v>38</v>
      </c>
      <c r="B308" s="345">
        <v>605.48329764204527</v>
      </c>
      <c r="C308" s="355">
        <f t="shared" si="95"/>
        <v>0.31987388979281911</v>
      </c>
      <c r="D308" s="345"/>
      <c r="E308" s="344">
        <v>933624.40163101163</v>
      </c>
      <c r="F308" s="344">
        <f t="shared" si="96"/>
        <v>0.42160259779051745</v>
      </c>
      <c r="K308" s="221"/>
    </row>
    <row r="309" spans="1:11" s="4" customFormat="1" ht="1.5" customHeight="1" x14ac:dyDescent="0.25">
      <c r="A309" s="20" t="s">
        <v>39</v>
      </c>
      <c r="B309" s="345">
        <v>17501.818222618294</v>
      </c>
      <c r="C309" s="355">
        <f t="shared" si="95"/>
        <v>9.2461256902010405</v>
      </c>
      <c r="D309" s="345"/>
      <c r="E309" s="344"/>
      <c r="F309" s="344">
        <f t="shared" si="96"/>
        <v>0</v>
      </c>
      <c r="K309" s="221"/>
    </row>
    <row r="310" spans="1:11" s="4" customFormat="1" x14ac:dyDescent="0.25">
      <c r="A310" s="20" t="s">
        <v>40</v>
      </c>
      <c r="B310" s="345">
        <v>14899.745140440602</v>
      </c>
      <c r="C310" s="355">
        <f t="shared" si="95"/>
        <v>7.8714630998987802</v>
      </c>
      <c r="D310" s="345"/>
      <c r="E310" s="344">
        <v>21208807.487770684</v>
      </c>
      <c r="F310" s="344">
        <f t="shared" si="96"/>
        <v>9.5773935613317924</v>
      </c>
      <c r="K310" s="221"/>
    </row>
    <row r="311" spans="1:11" s="4" customFormat="1" ht="12" customHeight="1" x14ac:dyDescent="0.25">
      <c r="A311" s="20" t="s">
        <v>41</v>
      </c>
      <c r="B311" s="345">
        <v>18848.590828632907</v>
      </c>
      <c r="C311" s="355">
        <f t="shared" si="95"/>
        <v>9.9576191266508562</v>
      </c>
      <c r="D311" s="345"/>
      <c r="E311" s="344">
        <v>26956943.601686139</v>
      </c>
      <c r="F311" s="344">
        <f t="shared" si="96"/>
        <v>12.173115260386137</v>
      </c>
      <c r="K311" s="221"/>
    </row>
    <row r="312" spans="1:11" s="4" customFormat="1" ht="15.75" customHeight="1" x14ac:dyDescent="0.25">
      <c r="A312" s="20" t="s">
        <v>42</v>
      </c>
      <c r="B312" s="353"/>
      <c r="C312" s="340"/>
      <c r="D312" s="353"/>
      <c r="E312" s="344">
        <v>0</v>
      </c>
      <c r="F312" s="344">
        <v>0</v>
      </c>
      <c r="G312" s="344">
        <v>0</v>
      </c>
      <c r="K312" s="221"/>
    </row>
    <row r="313" spans="1:11" s="4" customFormat="1" x14ac:dyDescent="0.25">
      <c r="A313" s="178" t="s">
        <v>156</v>
      </c>
      <c r="B313" s="366">
        <f>SUM(B314:B317)</f>
        <v>11033.56576562368</v>
      </c>
      <c r="C313" s="340">
        <f>B313/$B$276*100</f>
        <v>5.8289792856044089</v>
      </c>
      <c r="D313" s="366"/>
      <c r="E313" s="366">
        <f>SUM(E314:E317)</f>
        <v>16739543.73971346</v>
      </c>
      <c r="F313" s="366">
        <f>E313/$E$276*100</f>
        <v>7.5591802379651574</v>
      </c>
      <c r="K313" s="221"/>
    </row>
    <row r="314" spans="1:11" s="4" customFormat="1" x14ac:dyDescent="0.25">
      <c r="A314" s="167" t="s">
        <v>44</v>
      </c>
      <c r="B314" s="345">
        <v>7057.6292476264616</v>
      </c>
      <c r="C314" s="355">
        <f t="shared" ref="C314:C316" si="97">B314/$B$276*100</f>
        <v>3.7285113048460703</v>
      </c>
      <c r="D314" s="345"/>
      <c r="E314" s="344">
        <v>11637955.042291706</v>
      </c>
      <c r="F314" s="344">
        <f>E314/$E$276*100</f>
        <v>5.2554239908766061</v>
      </c>
      <c r="K314" s="221"/>
    </row>
    <row r="315" spans="1:11" s="4" customFormat="1" ht="12" customHeight="1" x14ac:dyDescent="0.25">
      <c r="A315" s="167" t="s">
        <v>149</v>
      </c>
      <c r="B315" s="345">
        <v>1451.7351876449923</v>
      </c>
      <c r="C315" s="355">
        <f t="shared" si="97"/>
        <v>0.76694465929866706</v>
      </c>
      <c r="D315" s="345"/>
      <c r="E315" s="344">
        <v>1986105.5893877642</v>
      </c>
      <c r="F315" s="344">
        <f>E315/$E$276*100</f>
        <v>0.89687809627654291</v>
      </c>
      <c r="K315" s="221"/>
    </row>
    <row r="316" spans="1:11" s="4" customFormat="1" ht="12" customHeight="1" x14ac:dyDescent="0.25">
      <c r="A316" s="167" t="s">
        <v>150</v>
      </c>
      <c r="B316" s="345">
        <v>2524.2013303522244</v>
      </c>
      <c r="C316" s="355">
        <f t="shared" si="97"/>
        <v>1.3335233214596711</v>
      </c>
      <c r="D316" s="345"/>
      <c r="E316" s="344">
        <v>3115483.1080339886</v>
      </c>
      <c r="F316" s="344">
        <f>E316/$E$276*100</f>
        <v>1.4068781508120078</v>
      </c>
      <c r="K316" s="221"/>
    </row>
    <row r="317" spans="1:11" s="4" customFormat="1" ht="12" customHeight="1" x14ac:dyDescent="0.25">
      <c r="A317" s="20" t="s">
        <v>47</v>
      </c>
      <c r="B317" s="353" t="s">
        <v>72</v>
      </c>
      <c r="C317" s="340"/>
      <c r="D317" s="353"/>
      <c r="E317" s="344">
        <v>0</v>
      </c>
      <c r="F317" s="344">
        <v>0</v>
      </c>
      <c r="G317" s="344">
        <v>0</v>
      </c>
      <c r="K317" s="221"/>
    </row>
    <row r="318" spans="1:11" s="4" customFormat="1" ht="12" customHeight="1" x14ac:dyDescent="0.25">
      <c r="A318" s="204" t="s">
        <v>48</v>
      </c>
      <c r="B318" s="366">
        <f>SUM(B319:B321)</f>
        <v>32304.986560375582</v>
      </c>
      <c r="C318" s="340">
        <f>B318/$B$276*100</f>
        <v>17.066567733601033</v>
      </c>
      <c r="D318" s="366"/>
      <c r="E318" s="366">
        <f>SUM(E319:E321)</f>
        <v>44807939.054041304</v>
      </c>
      <c r="F318" s="366">
        <f>E318/$E$276*100</f>
        <v>20.234200684794416</v>
      </c>
      <c r="K318" s="221"/>
    </row>
    <row r="319" spans="1:11" s="4" customFormat="1" ht="12" customHeight="1" x14ac:dyDescent="0.25">
      <c r="A319" s="20" t="s">
        <v>49</v>
      </c>
      <c r="B319" s="345">
        <v>32304.986560375582</v>
      </c>
      <c r="C319" s="355">
        <f>B319/$B$276*100</f>
        <v>17.066567733601033</v>
      </c>
      <c r="D319" s="345"/>
      <c r="E319" s="344">
        <v>44807939.054041304</v>
      </c>
      <c r="F319" s="344">
        <f>E319/$E$276*100</f>
        <v>20.234200684794416</v>
      </c>
      <c r="K319" s="221"/>
    </row>
    <row r="320" spans="1:11" s="4" customFormat="1" ht="12" customHeight="1" x14ac:dyDescent="0.25">
      <c r="A320" s="20" t="s">
        <v>140</v>
      </c>
      <c r="B320" s="351">
        <v>0</v>
      </c>
      <c r="C320" s="355">
        <f t="shared" ref="C320:C321" si="98">B320/$B$276*100</f>
        <v>0</v>
      </c>
      <c r="D320" s="351"/>
      <c r="E320" s="344">
        <v>0</v>
      </c>
      <c r="F320" s="344">
        <v>0</v>
      </c>
      <c r="K320" s="221"/>
    </row>
    <row r="321" spans="1:16" s="4" customFormat="1" ht="15.75" customHeight="1" x14ac:dyDescent="0.25">
      <c r="A321" s="20" t="s">
        <v>142</v>
      </c>
      <c r="B321" s="351">
        <v>0</v>
      </c>
      <c r="C321" s="355">
        <f t="shared" si="98"/>
        <v>0</v>
      </c>
      <c r="D321" s="351"/>
      <c r="E321" s="344">
        <v>0</v>
      </c>
      <c r="F321" s="344">
        <v>0</v>
      </c>
      <c r="K321" s="221"/>
    </row>
    <row r="322" spans="1:16" s="4" customFormat="1" ht="14.25" customHeight="1" x14ac:dyDescent="0.25">
      <c r="A322" s="104" t="s">
        <v>52</v>
      </c>
      <c r="B322" s="352">
        <f>SUM(B323:B327)</f>
        <v>119540.0157307745</v>
      </c>
      <c r="C322" s="340">
        <f>B322/$B$322*100</f>
        <v>100</v>
      </c>
      <c r="D322" s="352"/>
      <c r="E322" s="352">
        <f>SUM(E323:E327)</f>
        <v>121480878.44661708</v>
      </c>
      <c r="F322" s="352">
        <f>E322/$E$322*100</f>
        <v>100</v>
      </c>
      <c r="K322" s="221"/>
    </row>
    <row r="323" spans="1:16" s="4" customFormat="1" ht="12" customHeight="1" x14ac:dyDescent="0.25">
      <c r="A323" s="20" t="s">
        <v>123</v>
      </c>
      <c r="B323" s="345">
        <v>43287.661918650694</v>
      </c>
      <c r="C323" s="355">
        <f>B323/$B$322*100</f>
        <v>36.211858977952829</v>
      </c>
      <c r="D323" s="345"/>
      <c r="E323" s="344">
        <v>41618461.050011531</v>
      </c>
      <c r="F323" s="345">
        <f>E323/$E$322*100</f>
        <v>34.259269098305154</v>
      </c>
      <c r="K323" s="89"/>
    </row>
    <row r="324" spans="1:16" s="4" customFormat="1" ht="15" customHeight="1" x14ac:dyDescent="0.25">
      <c r="A324" s="20" t="s">
        <v>124</v>
      </c>
      <c r="B324" s="345">
        <v>8632.9518875541598</v>
      </c>
      <c r="C324" s="355">
        <f t="shared" ref="C324:C327" si="99">B324/$B$322*100</f>
        <v>7.2218092282981736</v>
      </c>
      <c r="D324" s="345"/>
      <c r="E324" s="344">
        <v>7840612.4658779381</v>
      </c>
      <c r="F324" s="345">
        <f t="shared" ref="F324:F327" si="100">E324/$E$322*100</f>
        <v>6.4541947392349277</v>
      </c>
      <c r="K324" s="89"/>
    </row>
    <row r="325" spans="1:16" s="4" customFormat="1" ht="11.25" customHeight="1" x14ac:dyDescent="0.25">
      <c r="A325" s="20" t="s">
        <v>56</v>
      </c>
      <c r="B325" s="345">
        <v>32778.613689685328</v>
      </c>
      <c r="C325" s="355">
        <f t="shared" si="99"/>
        <v>27.420620190906309</v>
      </c>
      <c r="D325" s="345"/>
      <c r="E325" s="344">
        <v>34717465.194725268</v>
      </c>
      <c r="F325" s="345">
        <f t="shared" si="100"/>
        <v>28.578543091439141</v>
      </c>
      <c r="G325" s="7"/>
      <c r="H325" s="7"/>
      <c r="I325" s="7"/>
      <c r="J325" s="1"/>
      <c r="K325" s="233"/>
      <c r="L325" s="170"/>
      <c r="N325" s="170"/>
      <c r="O325" s="170"/>
      <c r="P325" s="170"/>
    </row>
    <row r="326" spans="1:16" s="4" customFormat="1" ht="15" customHeight="1" x14ac:dyDescent="0.25">
      <c r="A326" s="20" t="s">
        <v>57</v>
      </c>
      <c r="B326" s="345">
        <v>17723.088435869326</v>
      </c>
      <c r="C326" s="355">
        <f t="shared" si="99"/>
        <v>14.826071694506792</v>
      </c>
      <c r="D326" s="345"/>
      <c r="E326" s="344">
        <v>18890597.553372025</v>
      </c>
      <c r="F326" s="345">
        <f t="shared" si="100"/>
        <v>15.55026420201037</v>
      </c>
      <c r="G326" s="169"/>
      <c r="H326" s="169"/>
      <c r="I326" s="169"/>
      <c r="J326" s="1"/>
      <c r="K326" s="230"/>
      <c r="L326" s="172"/>
      <c r="N326" s="172"/>
      <c r="O326" s="146"/>
      <c r="P326" s="146"/>
    </row>
    <row r="327" spans="1:16" s="4" customFormat="1" ht="12.75" customHeight="1" x14ac:dyDescent="0.25">
      <c r="A327" s="20" t="s">
        <v>58</v>
      </c>
      <c r="B327" s="345">
        <v>17117.69979901499</v>
      </c>
      <c r="C327" s="355">
        <f t="shared" si="99"/>
        <v>14.319639908335894</v>
      </c>
      <c r="D327" s="345"/>
      <c r="E327" s="344">
        <v>18413742.182630319</v>
      </c>
      <c r="F327" s="345">
        <f t="shared" si="100"/>
        <v>15.157728869010406</v>
      </c>
      <c r="G327" s="7"/>
      <c r="H327" s="7"/>
      <c r="I327" s="7"/>
      <c r="J327" s="145"/>
      <c r="K327" s="231"/>
      <c r="L327" s="1"/>
      <c r="M327" s="170"/>
      <c r="N327" s="60"/>
      <c r="O327" s="147"/>
      <c r="P327" s="147"/>
    </row>
    <row r="328" spans="1:16" s="7" customFormat="1" ht="11.25" customHeight="1" x14ac:dyDescent="0.25">
      <c r="A328" s="104" t="s">
        <v>61</v>
      </c>
      <c r="B328" s="343">
        <f>SUM(B329:B330)</f>
        <v>4187.5199856111221</v>
      </c>
      <c r="C328" s="343">
        <f>B328/$B$328*100</f>
        <v>100</v>
      </c>
      <c r="D328" s="343"/>
      <c r="E328" s="343">
        <f>SUM(E329:E330)</f>
        <v>4104353.7747280523</v>
      </c>
      <c r="F328" s="343">
        <f>E328/$E$328*100</f>
        <v>100</v>
      </c>
      <c r="G328" s="77"/>
      <c r="H328" s="77"/>
      <c r="I328" s="77"/>
      <c r="J328" s="77"/>
      <c r="K328" s="221"/>
      <c r="L328" s="4"/>
      <c r="M328" s="172"/>
      <c r="N328" s="4"/>
      <c r="O328" s="4"/>
      <c r="P328" s="4"/>
    </row>
    <row r="329" spans="1:16" s="54" customFormat="1" ht="11.25" customHeight="1" x14ac:dyDescent="0.25">
      <c r="A329" s="20" t="s">
        <v>143</v>
      </c>
      <c r="B329" s="345">
        <v>254.91703124224199</v>
      </c>
      <c r="C329" s="344">
        <f>B329/$B$328*100</f>
        <v>6.0875418414281235</v>
      </c>
      <c r="D329" s="345"/>
      <c r="E329" s="344">
        <v>251223.35798372678</v>
      </c>
      <c r="F329" s="345">
        <f>E329/$E$328*100</f>
        <v>6.1208992151358208</v>
      </c>
      <c r="G329" s="77"/>
      <c r="H329" s="77"/>
      <c r="I329" s="77"/>
      <c r="J329" s="20"/>
      <c r="K329" s="221"/>
      <c r="L329" s="4"/>
      <c r="M329" s="1"/>
      <c r="N329" s="4"/>
      <c r="O329" s="4"/>
      <c r="P329" s="4"/>
    </row>
    <row r="330" spans="1:16" s="4" customFormat="1" ht="15" customHeight="1" x14ac:dyDescent="0.25">
      <c r="A330" s="20" t="s">
        <v>130</v>
      </c>
      <c r="B330" s="345">
        <v>3932.6029543688801</v>
      </c>
      <c r="C330" s="344">
        <f>B330/$B$328*100</f>
        <v>93.91245815857188</v>
      </c>
      <c r="D330" s="345"/>
      <c r="E330" s="344">
        <v>3853130.4167443258</v>
      </c>
      <c r="F330" s="345">
        <f>E330/$E$328*100</f>
        <v>93.879100784864193</v>
      </c>
      <c r="G330" s="60"/>
      <c r="H330" s="147"/>
      <c r="I330" s="20"/>
      <c r="K330" s="221"/>
    </row>
    <row r="331" spans="1:16" s="4" customFormat="1" ht="6" customHeight="1" x14ac:dyDescent="0.25">
      <c r="A331" s="328"/>
      <c r="B331" s="339"/>
      <c r="C331" s="339"/>
      <c r="D331" s="339"/>
      <c r="E331" s="339"/>
      <c r="F331" s="339"/>
      <c r="K331" s="221"/>
    </row>
    <row r="332" spans="1:16" s="4" customFormat="1" x14ac:dyDescent="0.25">
      <c r="A332" s="246" t="s">
        <v>125</v>
      </c>
      <c r="K332" s="221"/>
    </row>
    <row r="333" spans="1:16" s="4" customFormat="1" x14ac:dyDescent="0.25">
      <c r="A333" s="175" t="s">
        <v>88</v>
      </c>
      <c r="K333" s="221"/>
    </row>
    <row r="334" spans="1:16" s="4" customFormat="1" x14ac:dyDescent="0.25">
      <c r="A334" s="175" t="s">
        <v>157</v>
      </c>
      <c r="K334" s="221"/>
    </row>
    <row r="335" spans="1:16" s="4" customFormat="1" x14ac:dyDescent="0.25">
      <c r="K335" s="221"/>
    </row>
    <row r="336" spans="1:16" s="4" customFormat="1" x14ac:dyDescent="0.25">
      <c r="K336" s="221"/>
    </row>
    <row r="337" spans="11:11" s="4" customFormat="1" x14ac:dyDescent="0.25">
      <c r="K337" s="221"/>
    </row>
    <row r="338" spans="11:11" s="4" customFormat="1" x14ac:dyDescent="0.25">
      <c r="K338" s="221"/>
    </row>
    <row r="339" spans="11:11" s="4" customFormat="1" x14ac:dyDescent="0.25">
      <c r="K339" s="221"/>
    </row>
    <row r="340" spans="11:11" s="4" customFormat="1" x14ac:dyDescent="0.25">
      <c r="K340" s="221"/>
    </row>
    <row r="341" spans="11:11" s="4" customFormat="1" x14ac:dyDescent="0.25">
      <c r="K341" s="221"/>
    </row>
    <row r="342" spans="11:11" s="4" customFormat="1" x14ac:dyDescent="0.25">
      <c r="K342" s="221"/>
    </row>
    <row r="343" spans="11:11" s="4" customFormat="1" x14ac:dyDescent="0.25">
      <c r="K343" s="221"/>
    </row>
    <row r="344" spans="11:11" s="4" customFormat="1" x14ac:dyDescent="0.25">
      <c r="K344" s="221"/>
    </row>
    <row r="345" spans="11:11" s="4" customFormat="1" x14ac:dyDescent="0.25">
      <c r="K345" s="221"/>
    </row>
    <row r="346" spans="11:11" s="4" customFormat="1" x14ac:dyDescent="0.25">
      <c r="K346" s="221"/>
    </row>
    <row r="347" spans="11:11" s="4" customFormat="1" x14ac:dyDescent="0.25">
      <c r="K347" s="221"/>
    </row>
    <row r="348" spans="11:11" s="4" customFormat="1" x14ac:dyDescent="0.25">
      <c r="K348" s="221"/>
    </row>
    <row r="349" spans="11:11" s="4" customFormat="1" x14ac:dyDescent="0.25">
      <c r="K349" s="221"/>
    </row>
    <row r="350" spans="11:11" s="4" customFormat="1" x14ac:dyDescent="0.25">
      <c r="K350" s="221"/>
    </row>
    <row r="351" spans="11:11" s="4" customFormat="1" x14ac:dyDescent="0.25">
      <c r="K351" s="221"/>
    </row>
    <row r="352" spans="11:11" s="4" customFormat="1" x14ac:dyDescent="0.25">
      <c r="K352" s="221"/>
    </row>
    <row r="353" spans="11:11" s="4" customFormat="1" x14ac:dyDescent="0.25">
      <c r="K353" s="221"/>
    </row>
    <row r="354" spans="11:11" s="4" customFormat="1" x14ac:dyDescent="0.25">
      <c r="K354" s="221"/>
    </row>
    <row r="355" spans="11:11" s="4" customFormat="1" x14ac:dyDescent="0.25">
      <c r="K355" s="221"/>
    </row>
    <row r="356" spans="11:11" s="4" customFormat="1" x14ac:dyDescent="0.25">
      <c r="K356" s="221"/>
    </row>
    <row r="357" spans="11:11" s="4" customFormat="1" x14ac:dyDescent="0.25">
      <c r="K357" s="221"/>
    </row>
    <row r="358" spans="11:11" s="4" customFormat="1" x14ac:dyDescent="0.25">
      <c r="K358" s="221"/>
    </row>
    <row r="359" spans="11:11" s="4" customFormat="1" x14ac:dyDescent="0.25">
      <c r="K359" s="221"/>
    </row>
    <row r="360" spans="11:11" s="4" customFormat="1" x14ac:dyDescent="0.25">
      <c r="K360" s="221"/>
    </row>
    <row r="361" spans="11:11" s="4" customFormat="1" x14ac:dyDescent="0.25">
      <c r="K361" s="221"/>
    </row>
    <row r="362" spans="11:11" s="4" customFormat="1" x14ac:dyDescent="0.25">
      <c r="K362" s="221"/>
    </row>
    <row r="363" spans="11:11" s="4" customFormat="1" x14ac:dyDescent="0.25">
      <c r="K363" s="221"/>
    </row>
    <row r="364" spans="11:11" s="4" customFormat="1" x14ac:dyDescent="0.25">
      <c r="K364" s="221"/>
    </row>
    <row r="365" spans="11:11" s="4" customFormat="1" x14ac:dyDescent="0.25">
      <c r="K365" s="221"/>
    </row>
    <row r="366" spans="11:11" s="4" customFormat="1" x14ac:dyDescent="0.25">
      <c r="K366" s="221"/>
    </row>
    <row r="367" spans="11:11" s="4" customFormat="1" x14ac:dyDescent="0.25">
      <c r="K367" s="221"/>
    </row>
    <row r="368" spans="11:11" s="4" customFormat="1" x14ac:dyDescent="0.25">
      <c r="K368" s="221"/>
    </row>
    <row r="369" spans="11:11" s="4" customFormat="1" x14ac:dyDescent="0.25">
      <c r="K369" s="221"/>
    </row>
    <row r="370" spans="11:11" s="4" customFormat="1" x14ac:dyDescent="0.25">
      <c r="K370" s="221"/>
    </row>
    <row r="371" spans="11:11" s="4" customFormat="1" x14ac:dyDescent="0.25">
      <c r="K371" s="221"/>
    </row>
    <row r="372" spans="11:11" s="4" customFormat="1" x14ac:dyDescent="0.25">
      <c r="K372" s="221"/>
    </row>
    <row r="373" spans="11:11" s="4" customFormat="1" x14ac:dyDescent="0.25">
      <c r="K373" s="221"/>
    </row>
    <row r="374" spans="11:11" s="4" customFormat="1" x14ac:dyDescent="0.25">
      <c r="K374" s="221"/>
    </row>
    <row r="375" spans="11:11" s="4" customFormat="1" x14ac:dyDescent="0.25">
      <c r="K375" s="221"/>
    </row>
    <row r="376" spans="11:11" s="4" customFormat="1" x14ac:dyDescent="0.25">
      <c r="K376" s="221"/>
    </row>
    <row r="377" spans="11:11" s="4" customFormat="1" x14ac:dyDescent="0.25">
      <c r="K377" s="221"/>
    </row>
    <row r="378" spans="11:11" s="4" customFormat="1" x14ac:dyDescent="0.25">
      <c r="K378" s="221"/>
    </row>
    <row r="379" spans="11:11" s="4" customFormat="1" x14ac:dyDescent="0.25">
      <c r="K379" s="221"/>
    </row>
    <row r="380" spans="11:11" s="4" customFormat="1" x14ac:dyDescent="0.25">
      <c r="K380" s="221"/>
    </row>
    <row r="381" spans="11:11" s="4" customFormat="1" x14ac:dyDescent="0.25">
      <c r="K381" s="221"/>
    </row>
    <row r="382" spans="11:11" s="4" customFormat="1" x14ac:dyDescent="0.25">
      <c r="K382" s="221"/>
    </row>
    <row r="383" spans="11:11" s="4" customFormat="1" x14ac:dyDescent="0.25">
      <c r="K383" s="221"/>
    </row>
    <row r="384" spans="11:11" s="4" customFormat="1" x14ac:dyDescent="0.25">
      <c r="K384" s="221"/>
    </row>
    <row r="385" spans="1:1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L385" s="4"/>
      <c r="M385" s="4"/>
      <c r="N385" s="4"/>
      <c r="O385" s="4"/>
      <c r="P385" s="4"/>
    </row>
    <row r="386" spans="1:1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L386" s="4"/>
      <c r="M386" s="4"/>
      <c r="N386" s="4"/>
      <c r="O386" s="4"/>
      <c r="P386" s="4"/>
    </row>
    <row r="387" spans="1:1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L387" s="4"/>
      <c r="M387" s="4"/>
      <c r="N387" s="4"/>
      <c r="O387" s="4"/>
      <c r="P387" s="4"/>
    </row>
    <row r="388" spans="1:1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L388" s="4"/>
      <c r="M388" s="4"/>
      <c r="N388" s="4"/>
      <c r="O388" s="4"/>
      <c r="P388" s="4"/>
    </row>
    <row r="389" spans="1:1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L389" s="4"/>
      <c r="M389" s="4"/>
      <c r="N389" s="4"/>
    </row>
    <row r="390" spans="1:1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L390" s="4"/>
      <c r="M390" s="4"/>
      <c r="N390" s="4"/>
    </row>
  </sheetData>
  <mergeCells count="38">
    <mergeCell ref="A74:O74"/>
    <mergeCell ref="A75:O75"/>
    <mergeCell ref="A77:A78"/>
    <mergeCell ref="B77:C77"/>
    <mergeCell ref="B205:C205"/>
    <mergeCell ref="K205:L205"/>
    <mergeCell ref="A205:A206"/>
    <mergeCell ref="K77:L77"/>
    <mergeCell ref="A138:O138"/>
    <mergeCell ref="A139:O139"/>
    <mergeCell ref="A140:A141"/>
    <mergeCell ref="H140:I140"/>
    <mergeCell ref="N140:O140"/>
    <mergeCell ref="K140:L140"/>
    <mergeCell ref="A203:O203"/>
    <mergeCell ref="A202:O202"/>
    <mergeCell ref="A2:O2"/>
    <mergeCell ref="A3:O3"/>
    <mergeCell ref="A4:A5"/>
    <mergeCell ref="B4:C4"/>
    <mergeCell ref="E4:F4"/>
    <mergeCell ref="H4:I4"/>
    <mergeCell ref="K4:L4"/>
    <mergeCell ref="N4:O4"/>
    <mergeCell ref="E273:F273"/>
    <mergeCell ref="E77:F77"/>
    <mergeCell ref="H77:I77"/>
    <mergeCell ref="H205:I205"/>
    <mergeCell ref="E205:F205"/>
    <mergeCell ref="E140:F140"/>
    <mergeCell ref="A270:O270"/>
    <mergeCell ref="A271:O271"/>
    <mergeCell ref="B273:C273"/>
    <mergeCell ref="A204:O204"/>
    <mergeCell ref="N205:O205"/>
    <mergeCell ref="A273:A274"/>
    <mergeCell ref="B140:C140"/>
    <mergeCell ref="N77:O77"/>
  </mergeCells>
  <pageMargins left="0.23622047244094491" right="0.15748031496062992" top="0.23622047244094491" bottom="1.6535433070866143" header="0.15748031496062992" footer="0.23622047244094491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Valor Producción</vt:lpstr>
      <vt:lpstr>'Valor Producción'!Área_de_impresión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2024-04-08T15:09:22Z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a.vilorio@bancentral.gov.do</vt:lpwstr>
  </property>
  <property fmtid="{D5CDD505-2E9C-101B-9397-08002B2CF9AE}" pid="5" name="MSIP_Label_b374117e-0e4c-4686-a7d7-10af5af37635_SetDate">
    <vt:lpwstr>2020-03-11T21:24:21.0047532Z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