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'Hoja1'!$A$1:$J$112</definedName>
    <definedName name="_xlnm.Print_Titles" localSheetId="0">'Hoja1'!$1:$21</definedName>
  </definedNames>
  <calcPr fullCalcOnLoad="1"/>
</workbook>
</file>

<file path=xl/sharedStrings.xml><?xml version="1.0" encoding="utf-8"?>
<sst xmlns="http://schemas.openxmlformats.org/spreadsheetml/2006/main" count="160" uniqueCount="121">
  <si>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</si>
  <si>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</si>
  <si>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</si>
  <si>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</si>
  <si>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</si>
  <si>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</si>
  <si>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SUBTOTAL</t>
  </si>
  <si>
    <t>Hom-Día</t>
  </si>
  <si>
    <t>VII</t>
  </si>
  <si>
    <t>VI</t>
  </si>
  <si>
    <t>V</t>
  </si>
  <si>
    <t>IV</t>
  </si>
  <si>
    <t>III</t>
  </si>
  <si>
    <t>Tarea</t>
  </si>
  <si>
    <t>II</t>
  </si>
  <si>
    <t>5.  Riego (2 Aplic.)</t>
  </si>
  <si>
    <t>I</t>
  </si>
  <si>
    <t>4.  Picada y Siembra</t>
  </si>
  <si>
    <t xml:space="preserve">   .4 Surqueo</t>
  </si>
  <si>
    <t xml:space="preserve">   .3 Rastra</t>
  </si>
  <si>
    <t xml:space="preserve">   .2 Cruce</t>
  </si>
  <si>
    <t xml:space="preserve">   .1 Corte</t>
  </si>
  <si>
    <t>3.  Preparación del Terreno</t>
  </si>
  <si>
    <t>2.  Limpieza de Canales</t>
  </si>
  <si>
    <t>Litro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</si>
  <si>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</si>
  <si>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</si>
  <si>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</si>
  <si>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</si>
  <si>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</si>
  <si>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</si>
  <si>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</si>
  <si>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</si>
  <si>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</si>
  <si>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_</t>
  </si>
  <si>
    <t xml:space="preserve"> CARAC. ESPECIAL</t>
  </si>
  <si>
    <t>JORNAL DIARIO :</t>
  </si>
  <si>
    <t>A</t>
  </si>
  <si>
    <t xml:space="preserve"> CLASIF. TERRENO</t>
  </si>
  <si>
    <t>8 Horas</t>
  </si>
  <si>
    <t>HOMBRE-DIA</t>
  </si>
  <si>
    <t>Mecanizado</t>
  </si>
  <si>
    <t xml:space="preserve"> PREP. TERRENO..</t>
  </si>
  <si>
    <t>Bajo</t>
  </si>
  <si>
    <t xml:space="preserve"> NIVEL INSUMOS...</t>
  </si>
  <si>
    <t>QQ 100 Lb</t>
  </si>
  <si>
    <t>Machetazo</t>
  </si>
  <si>
    <t>Riego-Grav</t>
  </si>
  <si>
    <t xml:space="preserve"> ORIGEN DE AGUAS</t>
  </si>
  <si>
    <t/>
  </si>
  <si>
    <t>Directo</t>
  </si>
  <si>
    <t xml:space="preserve"> METODO SIEMBRA.</t>
  </si>
  <si>
    <t xml:space="preserve"> FECHA COSECHA..</t>
  </si>
  <si>
    <t>RENDIMIENTO</t>
  </si>
  <si>
    <t>VARIEDAD</t>
  </si>
  <si>
    <t xml:space="preserve"> FECHA SIEMBRA..</t>
  </si>
  <si>
    <t>0-31-0214A</t>
  </si>
  <si>
    <t xml:space="preserve"> COSTO CODIGO...</t>
  </si>
  <si>
    <t>ENTREVISTAS...</t>
  </si>
  <si>
    <t xml:space="preserve"> CICLO..........</t>
  </si>
  <si>
    <t>Nacional</t>
  </si>
  <si>
    <t>AREA APLIC....</t>
  </si>
  <si>
    <t>Yuca</t>
  </si>
  <si>
    <t xml:space="preserve"> RUBRO..........</t>
  </si>
  <si>
    <t>REGIONAL......</t>
  </si>
  <si>
    <t>Unidad</t>
  </si>
  <si>
    <t>Costo/</t>
  </si>
  <si>
    <t>7 Meses</t>
  </si>
  <si>
    <t>Cant.</t>
  </si>
  <si>
    <t>FECHA :</t>
  </si>
  <si>
    <t>GASTOS ADMINISTRATIVOS 2%</t>
  </si>
  <si>
    <t>Coeficiente Técnico por Actividad</t>
  </si>
  <si>
    <t>…………………………………………</t>
  </si>
  <si>
    <t>Participación (%) por Actividad</t>
  </si>
  <si>
    <t>QQ</t>
  </si>
  <si>
    <t xml:space="preserve">  (0.2414 QQ 15-15-15)</t>
  </si>
  <si>
    <t xml:space="preserve"> .1 Semilla (Esquejes)</t>
  </si>
  <si>
    <t xml:space="preserve"> .2 Fertilizante 15-15-15</t>
  </si>
  <si>
    <t xml:space="preserve"> .3 Fertilizante 20-20-20</t>
  </si>
  <si>
    <t xml:space="preserve"> .4 Fertilizante (Fertisol)</t>
  </si>
  <si>
    <t>Libra</t>
  </si>
  <si>
    <t xml:space="preserve"> .5 Fungicida  Dithane 60 Sc</t>
  </si>
  <si>
    <t xml:space="preserve"> .6 Fungicida Antracol</t>
  </si>
  <si>
    <t>Kg</t>
  </si>
  <si>
    <t xml:space="preserve"> .7 Herbicida Gramoxone</t>
  </si>
  <si>
    <t xml:space="preserve"> .8 Herbicida Fusilade</t>
  </si>
  <si>
    <t xml:space="preserve"> .9 Insecticida Cidyn</t>
  </si>
  <si>
    <t xml:space="preserve"> .10 Insecticida (Decis)</t>
  </si>
  <si>
    <t xml:space="preserve"> .11 Transporte de Insumos</t>
  </si>
  <si>
    <t xml:space="preserve"> .12 Pago Agua INDRHI (7 Meses)</t>
  </si>
  <si>
    <t xml:space="preserve">    (0.0365 Lt Cidyn  + 0.0272  Kg Antracol</t>
  </si>
  <si>
    <t xml:space="preserve">     0.1074 Lt. Gramoxone)</t>
  </si>
  <si>
    <t xml:space="preserve">     60 Sc + 0.1074 Lt. Gramoxone)</t>
  </si>
  <si>
    <t xml:space="preserve">    (0.1487 Lt Decis + 0.0500 Lt. Dithane </t>
  </si>
  <si>
    <t>6. Aplicación Fertilizante</t>
  </si>
  <si>
    <t>7.  Desyerbo (Manual)</t>
  </si>
  <si>
    <t>8.  Pase Cultivador (Animal)</t>
  </si>
  <si>
    <t>9.  Riego</t>
  </si>
  <si>
    <t>10.  Desyerbo (Manual)</t>
  </si>
  <si>
    <t>11. Aplicación Agroquimicos</t>
  </si>
  <si>
    <t>12. Riego</t>
  </si>
  <si>
    <t>13. Aplicación Fertilizante</t>
  </si>
  <si>
    <t>14. Desyerbo (Manual)</t>
  </si>
  <si>
    <t>15. Aplicación Insecticida</t>
  </si>
  <si>
    <t>16. Riego</t>
  </si>
  <si>
    <t>17. Riego</t>
  </si>
  <si>
    <t xml:space="preserve">18. Cosecha </t>
  </si>
  <si>
    <t>MINISTERIO  DE AGRICULTURA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</si>
  <si>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</si>
  <si>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</si>
  <si>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</si>
  <si>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</si>
  <si>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</si>
  <si>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</si>
  <si>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Página 65</t>
  </si>
  <si>
    <t>Página 66</t>
  </si>
  <si>
    <t>Página 67</t>
  </si>
  <si>
    <t>PAGO INTERESES 8.0% ANUAL (7 meses 4.66%)</t>
  </si>
  <si>
    <t>Quintal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</si>
  <si>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insumos actualizados a mayo, 2019.</t>
  </si>
  <si>
    <t>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</si>
</sst>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00_)"/>
    <numFmt numFmtId="188" formatCode="0_)"/>
    <numFmt numFmtId="189" formatCode="0.00_)"/>
    <numFmt numFmtId="190" formatCode="#,##0.0_);\(#,##0.0\)"/>
    <numFmt numFmtId="191" formatCode="#,##0.0000_);\(#,##0.0000\)"/>
    <numFmt numFmtId="192" formatCode="_(* #,##0.0_);_(* \(#,##0.0\);_(* &quot;-&quot;??_);_(@_)"/>
    <numFmt numFmtId="193" formatCode="_(* #,##0_);_(* \(#,##0\);_(* &quot;-&quot;??_);_(@_)"/>
    <numFmt numFmtId="194" formatCode="0.0000"/>
    <numFmt numFmtId="195" formatCode="&quot;RD$&quot;#,##0.00"/>
    <numFmt numFmtId="196" formatCode="_-* #,##0.00_-;\-* #,##0.00_-;_-* &quot;-&quot;??_-;_-@_-"/>
    <numFmt numFmtId="197" formatCode="_-* #,##0_-;\-* #,##0_-;_-* &quot;-&quot;??_-;_-@_-"/>
    <numFmt numFmtId="198" formatCode="#,##0.00_ ;\-#,##0.00\ 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u val="single"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9" fontId="2" fillId="0" borderId="0" xfId="54" applyFont="1" applyAlignment="1">
      <alignment horizontal="center"/>
    </xf>
    <xf numFmtId="189" fontId="6" fillId="0" borderId="0" xfId="0" applyNumberFormat="1" applyFont="1" applyBorder="1" applyAlignment="1" applyProtection="1">
      <alignment horizontal="fill"/>
      <protection/>
    </xf>
    <xf numFmtId="198" fontId="2" fillId="0" borderId="0" xfId="0" applyNumberFormat="1" applyFont="1" applyAlignment="1">
      <alignment/>
    </xf>
    <xf numFmtId="0" fontId="48" fillId="0" borderId="0" xfId="0" applyFont="1" applyAlignment="1">
      <alignment/>
    </xf>
    <xf numFmtId="0" fontId="2" fillId="33" borderId="0" xfId="0" applyFont="1" applyFill="1" applyAlignment="1">
      <alignment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87" fontId="2" fillId="33" borderId="0" xfId="0" applyNumberFormat="1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48" fillId="33" borderId="0" xfId="0" applyFont="1" applyFill="1" applyAlignment="1">
      <alignment/>
    </xf>
    <xf numFmtId="9" fontId="2" fillId="33" borderId="0" xfId="54" applyFont="1" applyFill="1" applyAlignment="1">
      <alignment horizontal="center"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8" fontId="3" fillId="33" borderId="0" xfId="0" applyNumberFormat="1" applyFont="1" applyFill="1" applyAlignment="1" applyProtection="1">
      <alignment/>
      <protection/>
    </xf>
    <xf numFmtId="43" fontId="2" fillId="0" borderId="0" xfId="0" applyNumberFormat="1" applyFont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9" fontId="7" fillId="33" borderId="0" xfId="54" applyFont="1" applyFill="1" applyAlignment="1" applyProtection="1">
      <alignment horizontal="left"/>
      <protection/>
    </xf>
    <xf numFmtId="9" fontId="3" fillId="33" borderId="0" xfId="54" applyFont="1" applyFill="1" applyAlignment="1" applyProtection="1">
      <alignment horizontal="left"/>
      <protection/>
    </xf>
    <xf numFmtId="9" fontId="3" fillId="33" borderId="0" xfId="54" applyFont="1" applyFill="1" applyAlignment="1">
      <alignment horizontal="left"/>
    </xf>
    <xf numFmtId="0" fontId="4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191" fontId="2" fillId="33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191" fontId="4" fillId="33" borderId="0" xfId="0" applyNumberFormat="1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 horizontal="center"/>
      <protection/>
    </xf>
    <xf numFmtId="191" fontId="4" fillId="33" borderId="0" xfId="0" applyNumberFormat="1" applyFont="1" applyFill="1" applyAlignment="1" applyProtection="1">
      <alignment horizontal="center"/>
      <protection/>
    </xf>
    <xf numFmtId="189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49" fontId="7" fillId="33" borderId="0" xfId="0" applyNumberFormat="1" applyFont="1" applyFill="1" applyAlignment="1" applyProtection="1">
      <alignment horizontal="center"/>
      <protection/>
    </xf>
    <xf numFmtId="169" fontId="3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2" fillId="33" borderId="10" xfId="0" applyFont="1" applyFill="1" applyBorder="1" applyAlignment="1" applyProtection="1">
      <alignment horizontal="fill"/>
      <protection/>
    </xf>
    <xf numFmtId="0" fontId="2" fillId="33" borderId="11" xfId="0" applyFont="1" applyFill="1" applyBorder="1" applyAlignment="1" applyProtection="1">
      <alignment horizontal="fill"/>
      <protection/>
    </xf>
    <xf numFmtId="0" fontId="1" fillId="33" borderId="12" xfId="0" applyFont="1" applyFill="1" applyBorder="1" applyAlignment="1" applyProtection="1">
      <alignment horizontal="center"/>
      <protection/>
    </xf>
    <xf numFmtId="187" fontId="1" fillId="33" borderId="12" xfId="0" applyNumberFormat="1" applyFont="1" applyFill="1" applyBorder="1" applyAlignment="1" applyProtection="1">
      <alignment horizontal="center"/>
      <protection/>
    </xf>
    <xf numFmtId="39" fontId="1" fillId="33" borderId="12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/>
    </xf>
    <xf numFmtId="9" fontId="2" fillId="33" borderId="13" xfId="54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87" fontId="2" fillId="33" borderId="14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 applyProtection="1">
      <alignment/>
      <protection/>
    </xf>
    <xf numFmtId="9" fontId="2" fillId="33" borderId="14" xfId="54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189" fontId="2" fillId="33" borderId="0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190" fontId="2" fillId="33" borderId="14" xfId="0" applyNumberFormat="1" applyFont="1" applyFill="1" applyBorder="1" applyAlignment="1" applyProtection="1">
      <alignment/>
      <protection/>
    </xf>
    <xf numFmtId="43" fontId="2" fillId="33" borderId="14" xfId="47" applyFont="1" applyFill="1" applyBorder="1" applyAlignment="1">
      <alignment/>
    </xf>
    <xf numFmtId="9" fontId="2" fillId="33" borderId="15" xfId="54" applyFont="1" applyFill="1" applyBorder="1" applyAlignment="1">
      <alignment horizontal="center"/>
    </xf>
    <xf numFmtId="187" fontId="2" fillId="33" borderId="14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1" fillId="33" borderId="16" xfId="0" applyFont="1" applyFill="1" applyBorder="1" applyAlignment="1" applyProtection="1">
      <alignment horizontal="left"/>
      <protection/>
    </xf>
    <xf numFmtId="7" fontId="2" fillId="33" borderId="0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>
      <alignment/>
    </xf>
    <xf numFmtId="194" fontId="2" fillId="33" borderId="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87" fontId="2" fillId="33" borderId="19" xfId="0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>
      <alignment horizontal="center"/>
    </xf>
    <xf numFmtId="39" fontId="2" fillId="33" borderId="19" xfId="0" applyNumberFormat="1" applyFont="1" applyFill="1" applyBorder="1" applyAlignment="1" applyProtection="1">
      <alignment/>
      <protection/>
    </xf>
    <xf numFmtId="9" fontId="2" fillId="33" borderId="19" xfId="54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187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39" fontId="2" fillId="33" borderId="0" xfId="0" applyNumberFormat="1" applyFont="1" applyFill="1" applyBorder="1" applyAlignment="1" applyProtection="1">
      <alignment/>
      <protection/>
    </xf>
    <xf numFmtId="43" fontId="2" fillId="33" borderId="0" xfId="47" applyFont="1" applyFill="1" applyBorder="1" applyAlignment="1">
      <alignment/>
    </xf>
    <xf numFmtId="9" fontId="2" fillId="33" borderId="0" xfId="54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87" fontId="2" fillId="33" borderId="12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39" fontId="2" fillId="33" borderId="12" xfId="0" applyNumberFormat="1" applyFont="1" applyFill="1" applyBorder="1" applyAlignment="1" applyProtection="1">
      <alignment/>
      <protection/>
    </xf>
    <xf numFmtId="43" fontId="2" fillId="33" borderId="12" xfId="47" applyFont="1" applyFill="1" applyBorder="1" applyAlignment="1">
      <alignment/>
    </xf>
    <xf numFmtId="0" fontId="2" fillId="33" borderId="14" xfId="0" applyFont="1" applyFill="1" applyBorder="1" applyAlignment="1">
      <alignment/>
    </xf>
    <xf numFmtId="194" fontId="2" fillId="33" borderId="14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43" fontId="2" fillId="33" borderId="14" xfId="47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43" fontId="2" fillId="33" borderId="14" xfId="47" applyFont="1" applyFill="1" applyBorder="1" applyAlignment="1" applyProtection="1" quotePrefix="1">
      <alignment horizontal="fill"/>
      <protection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0" fontId="2" fillId="33" borderId="14" xfId="0" applyNumberFormat="1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fill"/>
      <protection/>
    </xf>
    <xf numFmtId="0" fontId="2" fillId="33" borderId="18" xfId="0" applyFont="1" applyFill="1" applyBorder="1" applyAlignment="1" applyProtection="1">
      <alignment horizontal="fill"/>
      <protection/>
    </xf>
    <xf numFmtId="0" fontId="2" fillId="33" borderId="19" xfId="0" applyFont="1" applyFill="1" applyBorder="1" applyAlignment="1" applyProtection="1">
      <alignment horizontal="fill"/>
      <protection/>
    </xf>
    <xf numFmtId="187" fontId="2" fillId="33" borderId="19" xfId="0" applyNumberFormat="1" applyFont="1" applyFill="1" applyBorder="1" applyAlignment="1" applyProtection="1">
      <alignment horizontal="fill"/>
      <protection/>
    </xf>
    <xf numFmtId="0" fontId="2" fillId="33" borderId="19" xfId="0" applyFont="1" applyFill="1" applyBorder="1" applyAlignment="1" applyProtection="1">
      <alignment horizontal="center"/>
      <protection/>
    </xf>
    <xf numFmtId="39" fontId="2" fillId="33" borderId="19" xfId="0" applyNumberFormat="1" applyFont="1" applyFill="1" applyBorder="1" applyAlignment="1" applyProtection="1">
      <alignment horizontal="fill"/>
      <protection/>
    </xf>
    <xf numFmtId="43" fontId="2" fillId="33" borderId="19" xfId="47" applyFont="1" applyFill="1" applyBorder="1" applyAlignment="1">
      <alignment/>
    </xf>
    <xf numFmtId="9" fontId="2" fillId="33" borderId="20" xfId="54" applyFont="1" applyFill="1" applyBorder="1" applyAlignment="1">
      <alignment horizontal="center"/>
    </xf>
    <xf numFmtId="187" fontId="2" fillId="33" borderId="0" xfId="0" applyNumberFormat="1" applyFont="1" applyFill="1" applyBorder="1" applyAlignment="1" applyProtection="1">
      <alignment horizontal="fill"/>
      <protection/>
    </xf>
    <xf numFmtId="39" fontId="2" fillId="33" borderId="0" xfId="0" applyNumberFormat="1" applyFont="1" applyFill="1" applyBorder="1" applyAlignment="1" applyProtection="1">
      <alignment horizontal="fill"/>
      <protection/>
    </xf>
    <xf numFmtId="0" fontId="1" fillId="33" borderId="10" xfId="0" applyFont="1" applyFill="1" applyBorder="1" applyAlignment="1" applyProtection="1">
      <alignment horizontal="left"/>
      <protection/>
    </xf>
    <xf numFmtId="189" fontId="2" fillId="33" borderId="11" xfId="0" applyNumberFormat="1" applyFont="1" applyFill="1" applyBorder="1" applyAlignment="1" applyProtection="1">
      <alignment horizontal="fill"/>
      <protection/>
    </xf>
    <xf numFmtId="39" fontId="2" fillId="33" borderId="11" xfId="0" applyNumberFormat="1" applyFont="1" applyFill="1" applyBorder="1" applyAlignment="1" applyProtection="1">
      <alignment/>
      <protection/>
    </xf>
    <xf numFmtId="39" fontId="1" fillId="33" borderId="13" xfId="0" applyNumberFormat="1" applyFont="1" applyFill="1" applyBorder="1" applyAlignment="1" applyProtection="1">
      <alignment/>
      <protection/>
    </xf>
    <xf numFmtId="43" fontId="2" fillId="33" borderId="0" xfId="47" applyFont="1" applyFill="1" applyAlignment="1">
      <alignment horizontal="center"/>
    </xf>
    <xf numFmtId="189" fontId="2" fillId="33" borderId="15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 horizontal="right"/>
    </xf>
    <xf numFmtId="197" fontId="10" fillId="33" borderId="0" xfId="49" applyNumberFormat="1" applyFont="1" applyFill="1" applyBorder="1" applyAlignment="1" applyProtection="1">
      <alignment horizontal="left"/>
      <protection/>
    </xf>
    <xf numFmtId="0" fontId="49" fillId="33" borderId="16" xfId="0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187" fontId="50" fillId="33" borderId="14" xfId="0" applyNumberFormat="1" applyFont="1" applyFill="1" applyBorder="1" applyAlignment="1" applyProtection="1">
      <alignment/>
      <protection/>
    </xf>
    <xf numFmtId="39" fontId="50" fillId="33" borderId="14" xfId="0" applyNumberFormat="1" applyFont="1" applyFill="1" applyBorder="1" applyAlignment="1" applyProtection="1">
      <alignment/>
      <protection/>
    </xf>
    <xf numFmtId="9" fontId="50" fillId="33" borderId="14" xfId="54" applyFont="1" applyFill="1" applyBorder="1" applyAlignment="1">
      <alignment horizontal="center"/>
    </xf>
    <xf numFmtId="0" fontId="50" fillId="33" borderId="15" xfId="0" applyFont="1" applyFill="1" applyBorder="1" applyAlignment="1">
      <alignment/>
    </xf>
    <xf numFmtId="0" fontId="51" fillId="0" borderId="0" xfId="0" applyFont="1" applyAlignment="1">
      <alignment/>
    </xf>
    <xf numFmtId="0" fontId="2" fillId="33" borderId="1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3" fontId="48" fillId="33" borderId="0" xfId="47" applyFont="1" applyFill="1" applyAlignment="1">
      <alignment horizontal="center"/>
    </xf>
    <xf numFmtId="0" fontId="1" fillId="34" borderId="17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fill"/>
      <protection/>
    </xf>
    <xf numFmtId="39" fontId="2" fillId="34" borderId="18" xfId="0" applyNumberFormat="1" applyFont="1" applyFill="1" applyBorder="1" applyAlignment="1" applyProtection="1">
      <alignment/>
      <protection/>
    </xf>
    <xf numFmtId="43" fontId="1" fillId="34" borderId="20" xfId="47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>
      <alignment/>
    </xf>
    <xf numFmtId="7" fontId="2" fillId="34" borderId="12" xfId="0" applyNumberFormat="1" applyFont="1" applyFill="1" applyBorder="1" applyAlignment="1" applyProtection="1">
      <alignment/>
      <protection/>
    </xf>
    <xf numFmtId="10" fontId="2" fillId="34" borderId="12" xfId="0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left"/>
      <protection/>
    </xf>
    <xf numFmtId="10" fontId="2" fillId="34" borderId="13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21" xfId="0" applyFont="1" applyFill="1" applyBorder="1" applyAlignment="1">
      <alignment/>
    </xf>
    <xf numFmtId="7" fontId="2" fillId="34" borderId="14" xfId="0" applyNumberFormat="1" applyFont="1" applyFill="1" applyBorder="1" applyAlignment="1" applyProtection="1">
      <alignment/>
      <protection/>
    </xf>
    <xf numFmtId="10" fontId="2" fillId="34" borderId="14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10" fontId="2" fillId="34" borderId="15" xfId="0" applyNumberFormat="1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fill"/>
      <protection/>
    </xf>
    <xf numFmtId="0" fontId="2" fillId="34" borderId="23" xfId="0" applyFont="1" applyFill="1" applyBorder="1" applyAlignment="1" applyProtection="1">
      <alignment horizontal="fill"/>
      <protection/>
    </xf>
    <xf numFmtId="0" fontId="2" fillId="34" borderId="19" xfId="0" applyFont="1" applyFill="1" applyBorder="1" applyAlignment="1" applyProtection="1">
      <alignment horizontal="fill"/>
      <protection/>
    </xf>
    <xf numFmtId="0" fontId="2" fillId="34" borderId="20" xfId="0" applyFont="1" applyFill="1" applyBorder="1" applyAlignment="1" applyProtection="1">
      <alignment horizontal="fill"/>
      <protection/>
    </xf>
    <xf numFmtId="0" fontId="9" fillId="34" borderId="24" xfId="0" applyFont="1" applyFill="1" applyBorder="1" applyAlignment="1" applyProtection="1">
      <alignment horizontal="fill"/>
      <protection/>
    </xf>
    <xf numFmtId="0" fontId="9" fillId="34" borderId="25" xfId="0" applyFont="1" applyFill="1" applyBorder="1" applyAlignment="1" applyProtection="1">
      <alignment horizontal="fill"/>
      <protection/>
    </xf>
    <xf numFmtId="0" fontId="9" fillId="34" borderId="26" xfId="0" applyFont="1" applyFill="1" applyBorder="1" applyAlignment="1" applyProtection="1">
      <alignment horizontal="fill"/>
      <protection/>
    </xf>
    <xf numFmtId="0" fontId="2" fillId="34" borderId="16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27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fill"/>
      <protection/>
    </xf>
    <xf numFmtId="0" fontId="2" fillId="34" borderId="0" xfId="0" applyFont="1" applyFill="1" applyBorder="1" applyAlignment="1" applyProtection="1">
      <alignment horizontal="fill"/>
      <protection/>
    </xf>
    <xf numFmtId="187" fontId="1" fillId="34" borderId="14" xfId="0" applyNumberFormat="1" applyFont="1" applyFill="1" applyBorder="1" applyAlignment="1" applyProtection="1">
      <alignment horizontal="center"/>
      <protection/>
    </xf>
    <xf numFmtId="39" fontId="1" fillId="34" borderId="14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Continuous"/>
      <protection/>
    </xf>
    <xf numFmtId="0" fontId="1" fillId="34" borderId="0" xfId="0" applyFont="1" applyFill="1" applyAlignment="1">
      <alignment horizontal="centerContinuous"/>
    </xf>
    <xf numFmtId="0" fontId="2" fillId="34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9" fontId="2" fillId="34" borderId="0" xfId="54" applyFont="1" applyFill="1" applyAlignment="1">
      <alignment horizontal="center"/>
    </xf>
    <xf numFmtId="0" fontId="50" fillId="0" borderId="0" xfId="0" applyFont="1" applyAlignment="1">
      <alignment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7" fillId="34" borderId="2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4" borderId="28" xfId="0" applyFont="1" applyFill="1" applyBorder="1" applyAlignment="1">
      <alignment horizontal="center" vertical="justify"/>
    </xf>
    <xf numFmtId="0" fontId="1" fillId="34" borderId="29" xfId="0" applyFont="1" applyFill="1" applyBorder="1" applyAlignment="1">
      <alignment horizontal="center" vertical="justify"/>
    </xf>
    <xf numFmtId="9" fontId="1" fillId="34" borderId="30" xfId="54" applyFont="1" applyFill="1" applyBorder="1" applyAlignment="1">
      <alignment horizontal="center" vertical="justify"/>
    </xf>
    <xf numFmtId="9" fontId="1" fillId="34" borderId="31" xfId="54" applyFont="1" applyFill="1" applyBorder="1" applyAlignment="1">
      <alignment horizontal="center" vertical="justify"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UCA%20SECA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2">
          <cell r="H72">
            <v>4139.432466361015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82">
      <selection activeCell="K92" sqref="K92"/>
    </sheetView>
  </sheetViews>
  <sheetFormatPr defaultColWidth="11.00390625" defaultRowHeight="12.75"/>
  <cols>
    <col min="1" max="1" width="12.8515625" style="1" customWidth="1"/>
    <col min="2" max="2" width="9.57421875" style="1" customWidth="1"/>
    <col min="3" max="3" width="8.57421875" style="1" customWidth="1"/>
    <col min="4" max="4" width="10.28125" style="1" customWidth="1"/>
    <col min="5" max="5" width="6.7109375" style="1" customWidth="1"/>
    <col min="6" max="6" width="8.7109375" style="1" customWidth="1"/>
    <col min="7" max="7" width="9.00390625" style="1" customWidth="1"/>
    <col min="8" max="8" width="11.00390625" style="1" customWidth="1"/>
    <col min="9" max="9" width="9.7109375" style="1" customWidth="1"/>
    <col min="10" max="10" width="13.57421875" style="5" customWidth="1"/>
    <col min="11" max="15" width="11.00390625" style="1" customWidth="1"/>
    <col min="16" max="16" width="12.140625" style="1" customWidth="1"/>
    <col min="17" max="16384" width="11.00390625" style="1" customWidth="1"/>
  </cols>
  <sheetData>
    <row r="1" spans="1:10" ht="39.75" customHeight="1">
      <c r="A1" s="165" t="s">
        <v>107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.75" customHeight="1">
      <c r="A2" s="159"/>
      <c r="B2" s="160"/>
      <c r="C2" s="160"/>
      <c r="D2" s="161"/>
      <c r="E2" s="161"/>
      <c r="F2" s="161"/>
      <c r="G2" s="161"/>
      <c r="H2" s="161"/>
      <c r="I2" s="162"/>
      <c r="J2" s="163"/>
    </row>
    <row r="3" spans="1:10" ht="13.5">
      <c r="A3" s="16"/>
      <c r="B3" s="9"/>
      <c r="C3" s="9"/>
      <c r="D3" s="9"/>
      <c r="E3" s="9"/>
      <c r="F3" s="16"/>
      <c r="G3" s="16"/>
      <c r="H3" s="9"/>
      <c r="I3" s="9"/>
      <c r="J3" s="15"/>
    </row>
    <row r="4" spans="1:10" ht="16.5">
      <c r="A4" s="21" t="s">
        <v>64</v>
      </c>
      <c r="B4" s="22" t="s">
        <v>60</v>
      </c>
      <c r="C4" s="9"/>
      <c r="D4" s="9"/>
      <c r="E4" s="9"/>
      <c r="F4" s="21" t="s">
        <v>63</v>
      </c>
      <c r="G4" s="16"/>
      <c r="H4" s="9" t="s">
        <v>72</v>
      </c>
      <c r="I4" s="9"/>
      <c r="J4" s="23" t="s">
        <v>62</v>
      </c>
    </row>
    <row r="5" spans="1:10" ht="13.5">
      <c r="A5" s="21" t="s">
        <v>61</v>
      </c>
      <c r="B5" s="22" t="s">
        <v>60</v>
      </c>
      <c r="C5" s="9"/>
      <c r="D5" s="9"/>
      <c r="E5" s="9"/>
      <c r="F5" s="21" t="s">
        <v>59</v>
      </c>
      <c r="G5" s="16"/>
      <c r="H5" s="9" t="s">
        <v>72</v>
      </c>
      <c r="I5" s="9"/>
      <c r="J5" s="24" t="s">
        <v>67</v>
      </c>
    </row>
    <row r="6" spans="1:10" ht="13.5">
      <c r="A6" s="21" t="s">
        <v>58</v>
      </c>
      <c r="B6" s="9"/>
      <c r="C6" s="9"/>
      <c r="D6" s="9"/>
      <c r="E6" s="9"/>
      <c r="F6" s="21" t="s">
        <v>57</v>
      </c>
      <c r="G6" s="16"/>
      <c r="H6" s="9" t="s">
        <v>72</v>
      </c>
      <c r="I6" s="9"/>
      <c r="J6" s="24" t="s">
        <v>56</v>
      </c>
    </row>
    <row r="7" spans="1:10" ht="13.5">
      <c r="A7" s="9"/>
      <c r="B7" s="9"/>
      <c r="C7" s="9"/>
      <c r="D7" s="9"/>
      <c r="E7" s="9"/>
      <c r="F7" s="21" t="s">
        <v>55</v>
      </c>
      <c r="G7" s="16"/>
      <c r="H7" s="9" t="s">
        <v>72</v>
      </c>
      <c r="I7" s="9"/>
      <c r="J7" s="25"/>
    </row>
    <row r="8" spans="1:10" ht="13.5">
      <c r="A8" s="26"/>
      <c r="B8" s="26"/>
      <c r="C8" s="9"/>
      <c r="D8" s="27" t="s">
        <v>66</v>
      </c>
      <c r="E8" s="9"/>
      <c r="F8" s="21" t="s">
        <v>52</v>
      </c>
      <c r="G8" s="16"/>
      <c r="H8" s="9" t="s">
        <v>72</v>
      </c>
      <c r="I8" s="9"/>
      <c r="J8" s="25"/>
    </row>
    <row r="9" spans="1:10" ht="13.5">
      <c r="A9" s="28" t="s">
        <v>54</v>
      </c>
      <c r="B9" s="28" t="s">
        <v>53</v>
      </c>
      <c r="C9" s="27" t="s">
        <v>65</v>
      </c>
      <c r="D9" s="27" t="s">
        <v>65</v>
      </c>
      <c r="E9" s="9"/>
      <c r="F9" s="16"/>
      <c r="G9" s="16"/>
      <c r="H9" s="9"/>
      <c r="I9" s="9"/>
      <c r="J9" s="25"/>
    </row>
    <row r="10" spans="1:11" ht="13.5">
      <c r="A10" s="29" t="s">
        <v>49</v>
      </c>
      <c r="B10" s="30"/>
      <c r="C10" s="31"/>
      <c r="D10" s="13"/>
      <c r="E10" s="9"/>
      <c r="F10" s="21" t="s">
        <v>51</v>
      </c>
      <c r="G10" s="16"/>
      <c r="H10" s="9" t="s">
        <v>72</v>
      </c>
      <c r="I10" s="9"/>
      <c r="J10" s="24" t="s">
        <v>50</v>
      </c>
      <c r="K10" s="8"/>
    </row>
    <row r="11" spans="1:11" ht="13.5">
      <c r="A11" s="29" t="s">
        <v>46</v>
      </c>
      <c r="B11" s="32">
        <v>11.27</v>
      </c>
      <c r="C11" s="33" t="s">
        <v>45</v>
      </c>
      <c r="D11" s="13">
        <f>(H89/B11)</f>
        <v>470.0222283843072</v>
      </c>
      <c r="E11" s="9"/>
      <c r="F11" s="21" t="s">
        <v>48</v>
      </c>
      <c r="G11" s="16"/>
      <c r="H11" s="9" t="s">
        <v>72</v>
      </c>
      <c r="I11" s="9"/>
      <c r="J11" s="24" t="s">
        <v>47</v>
      </c>
      <c r="K11" s="8"/>
    </row>
    <row r="12" spans="1:11" ht="13.5">
      <c r="A12" s="9"/>
      <c r="B12" s="34"/>
      <c r="C12" s="9"/>
      <c r="D12" s="9"/>
      <c r="E12" s="9"/>
      <c r="F12" s="21" t="s">
        <v>44</v>
      </c>
      <c r="G12" s="16"/>
      <c r="H12" s="9" t="s">
        <v>72</v>
      </c>
      <c r="I12" s="9"/>
      <c r="J12" s="24" t="s">
        <v>43</v>
      </c>
      <c r="K12" s="8"/>
    </row>
    <row r="13" spans="1:11" ht="13.5">
      <c r="A13" s="29"/>
      <c r="B13" s="9"/>
      <c r="C13" s="112"/>
      <c r="D13" s="113"/>
      <c r="E13" s="9"/>
      <c r="F13" s="21" t="s">
        <v>42</v>
      </c>
      <c r="G13" s="16"/>
      <c r="H13" s="9" t="s">
        <v>72</v>
      </c>
      <c r="I13" s="9"/>
      <c r="J13" s="24" t="s">
        <v>41</v>
      </c>
      <c r="K13" s="8"/>
    </row>
    <row r="14" spans="1:11" ht="16.5">
      <c r="A14" s="21" t="s">
        <v>40</v>
      </c>
      <c r="B14" s="35" t="s">
        <v>39</v>
      </c>
      <c r="C14" s="36" t="s">
        <v>69</v>
      </c>
      <c r="D14" s="37" t="s">
        <v>120</v>
      </c>
      <c r="E14" s="9"/>
      <c r="F14" s="21" t="s">
        <v>38</v>
      </c>
      <c r="G14" s="16"/>
      <c r="H14" s="9" t="s">
        <v>72</v>
      </c>
      <c r="I14" s="9"/>
      <c r="J14" s="24" t="s">
        <v>37</v>
      </c>
      <c r="K14" s="8"/>
    </row>
    <row r="15" spans="1:11" ht="13.5">
      <c r="A15" s="21" t="s">
        <v>36</v>
      </c>
      <c r="B15" s="38">
        <v>500</v>
      </c>
      <c r="C15" s="9"/>
      <c r="D15" s="9"/>
      <c r="E15" s="9"/>
      <c r="F15" s="21" t="s">
        <v>35</v>
      </c>
      <c r="G15" s="16"/>
      <c r="H15" s="9" t="s">
        <v>72</v>
      </c>
      <c r="I15" s="9"/>
      <c r="J15" s="24" t="s">
        <v>34</v>
      </c>
      <c r="K15" s="8"/>
    </row>
    <row r="16" spans="1:11" ht="8.25" customHeight="1" thickBot="1">
      <c r="A16" s="9"/>
      <c r="B16" s="9"/>
      <c r="C16" s="9"/>
      <c r="D16" s="9"/>
      <c r="E16" s="39"/>
      <c r="F16" s="39"/>
      <c r="G16" s="39"/>
      <c r="H16" s="39"/>
      <c r="I16" s="9"/>
      <c r="J16" s="15"/>
      <c r="K16" s="8"/>
    </row>
    <row r="17" spans="1:11" ht="18" customHeight="1">
      <c r="A17" s="166" t="s">
        <v>33</v>
      </c>
      <c r="B17" s="167"/>
      <c r="C17" s="167"/>
      <c r="D17" s="167"/>
      <c r="E17" s="167"/>
      <c r="F17" s="167"/>
      <c r="G17" s="167"/>
      <c r="H17" s="168"/>
      <c r="I17" s="171" t="s">
        <v>71</v>
      </c>
      <c r="J17" s="173" t="s">
        <v>73</v>
      </c>
      <c r="K17" s="8"/>
    </row>
    <row r="18" spans="1:11" ht="3.75" customHeight="1">
      <c r="A18" s="145"/>
      <c r="B18" s="146"/>
      <c r="C18" s="146"/>
      <c r="D18" s="146"/>
      <c r="E18" s="146"/>
      <c r="F18" s="146"/>
      <c r="G18" s="146"/>
      <c r="H18" s="147"/>
      <c r="I18" s="172"/>
      <c r="J18" s="174"/>
      <c r="K18" s="8"/>
    </row>
    <row r="19" spans="1:11" ht="10.5" customHeight="1">
      <c r="A19" s="148"/>
      <c r="B19" s="149"/>
      <c r="C19" s="149"/>
      <c r="D19" s="150"/>
      <c r="E19" s="150"/>
      <c r="F19" s="150"/>
      <c r="G19" s="151" t="s">
        <v>32</v>
      </c>
      <c r="H19" s="151" t="s">
        <v>31</v>
      </c>
      <c r="I19" s="172"/>
      <c r="J19" s="174"/>
      <c r="K19" s="8"/>
    </row>
    <row r="20" spans="1:11" ht="12" customHeight="1">
      <c r="A20" s="152" t="s">
        <v>30</v>
      </c>
      <c r="B20" s="153"/>
      <c r="C20" s="153"/>
      <c r="D20" s="154" t="s">
        <v>29</v>
      </c>
      <c r="E20" s="154" t="s">
        <v>68</v>
      </c>
      <c r="F20" s="154" t="s">
        <v>28</v>
      </c>
      <c r="G20" s="154" t="s">
        <v>27</v>
      </c>
      <c r="H20" s="154" t="s">
        <v>26</v>
      </c>
      <c r="I20" s="172"/>
      <c r="J20" s="174"/>
      <c r="K20" s="8"/>
    </row>
    <row r="21" spans="1:11" ht="7.5" customHeight="1" thickBot="1">
      <c r="A21" s="155"/>
      <c r="B21" s="156"/>
      <c r="C21" s="156"/>
      <c r="D21" s="154"/>
      <c r="E21" s="157"/>
      <c r="F21" s="154"/>
      <c r="G21" s="158"/>
      <c r="H21" s="158"/>
      <c r="I21" s="172"/>
      <c r="J21" s="174"/>
      <c r="K21" s="8"/>
    </row>
    <row r="22" spans="1:11" ht="7.5" customHeight="1">
      <c r="A22" s="40"/>
      <c r="B22" s="41"/>
      <c r="C22" s="41"/>
      <c r="D22" s="42"/>
      <c r="E22" s="43"/>
      <c r="F22" s="42"/>
      <c r="G22" s="44"/>
      <c r="H22" s="44"/>
      <c r="I22" s="45"/>
      <c r="J22" s="46"/>
      <c r="K22" s="164"/>
    </row>
    <row r="23" spans="1:11" ht="12.75">
      <c r="A23" s="114" t="s">
        <v>25</v>
      </c>
      <c r="B23" s="115"/>
      <c r="C23" s="115"/>
      <c r="D23" s="116"/>
      <c r="E23" s="117"/>
      <c r="F23" s="116"/>
      <c r="G23" s="118"/>
      <c r="H23" s="118"/>
      <c r="I23" s="119"/>
      <c r="J23" s="120"/>
      <c r="K23" s="164"/>
    </row>
    <row r="24" spans="1:11" ht="12.75">
      <c r="A24" s="53" t="s">
        <v>76</v>
      </c>
      <c r="B24" s="47"/>
      <c r="C24" s="54"/>
      <c r="D24" s="122"/>
      <c r="E24" s="49">
        <v>0.3</v>
      </c>
      <c r="F24" s="55" t="s">
        <v>118</v>
      </c>
      <c r="G24" s="56">
        <v>350</v>
      </c>
      <c r="H24" s="50">
        <f aca="true" t="shared" si="0" ref="H24:H34">IF(E24*G24,+E24*G24,"        ")</f>
        <v>105</v>
      </c>
      <c r="I24" s="57">
        <f aca="true" t="shared" si="1" ref="I24:I35">E24/B$11</f>
        <v>0.026619343389529725</v>
      </c>
      <c r="J24" s="58">
        <f aca="true" t="shared" si="2" ref="J24:J36">H24/H$89</f>
        <v>0.019821977820839734</v>
      </c>
      <c r="K24" s="8">
        <f>+(H89+'[1]Hoja1'!$H$72)/2</f>
        <v>4718.291490126078</v>
      </c>
    </row>
    <row r="25" spans="1:11" ht="12.75">
      <c r="A25" s="53" t="s">
        <v>77</v>
      </c>
      <c r="B25" s="47"/>
      <c r="C25" s="54"/>
      <c r="D25" s="122"/>
      <c r="E25" s="49">
        <f>8.63/35.75</f>
        <v>0.24139860139860142</v>
      </c>
      <c r="F25" s="55" t="s">
        <v>74</v>
      </c>
      <c r="G25" s="56">
        <v>1181.625</v>
      </c>
      <c r="H25" s="50">
        <f t="shared" si="0"/>
        <v>285.2426223776224</v>
      </c>
      <c r="I25" s="57">
        <f t="shared" si="1"/>
        <v>0.021419574214605275</v>
      </c>
      <c r="J25" s="58">
        <f t="shared" si="2"/>
        <v>0.0538483136602609</v>
      </c>
      <c r="K25" s="164"/>
    </row>
    <row r="26" spans="1:11" ht="12.75">
      <c r="A26" s="53" t="s">
        <v>78</v>
      </c>
      <c r="B26" s="47"/>
      <c r="C26" s="54"/>
      <c r="D26" s="122"/>
      <c r="E26" s="49">
        <f>0.02/18</f>
        <v>0.0011111111111111111</v>
      </c>
      <c r="F26" s="55" t="s">
        <v>74</v>
      </c>
      <c r="G26" s="56">
        <v>990</v>
      </c>
      <c r="H26" s="50">
        <f t="shared" si="0"/>
        <v>1.1</v>
      </c>
      <c r="I26" s="57">
        <f t="shared" si="1"/>
        <v>9.859016070196195E-05</v>
      </c>
      <c r="J26" s="58">
        <f t="shared" si="2"/>
        <v>0.00020765881526594007</v>
      </c>
      <c r="K26" s="164"/>
    </row>
    <row r="27" spans="1:11" ht="12.75">
      <c r="A27" s="53" t="s">
        <v>79</v>
      </c>
      <c r="B27" s="47"/>
      <c r="C27" s="47"/>
      <c r="D27" s="48"/>
      <c r="E27" s="49">
        <v>0.0543</v>
      </c>
      <c r="F27" s="55" t="s">
        <v>80</v>
      </c>
      <c r="G27" s="56">
        <v>82.5</v>
      </c>
      <c r="H27" s="50">
        <f t="shared" si="0"/>
        <v>4.47975</v>
      </c>
      <c r="I27" s="57">
        <f t="shared" si="1"/>
        <v>0.004818101153504881</v>
      </c>
      <c r="J27" s="58">
        <f t="shared" si="2"/>
        <v>0.0008456905251705409</v>
      </c>
      <c r="K27" s="164"/>
    </row>
    <row r="28" spans="1:11" ht="12.75">
      <c r="A28" s="53" t="s">
        <v>81</v>
      </c>
      <c r="B28" s="47"/>
      <c r="C28" s="47"/>
      <c r="D28" s="48"/>
      <c r="E28" s="49">
        <f>2/40</f>
        <v>0.05</v>
      </c>
      <c r="F28" s="55" t="s">
        <v>24</v>
      </c>
      <c r="G28" s="56">
        <v>376.5</v>
      </c>
      <c r="H28" s="50">
        <f t="shared" si="0"/>
        <v>18.825</v>
      </c>
      <c r="I28" s="57">
        <f t="shared" si="1"/>
        <v>0.004436557231588288</v>
      </c>
      <c r="J28" s="58">
        <f t="shared" si="2"/>
        <v>0.0035537974521648377</v>
      </c>
      <c r="K28" s="164"/>
    </row>
    <row r="29" spans="1:11" ht="12.75">
      <c r="A29" s="53" t="s">
        <v>82</v>
      </c>
      <c r="B29" s="47"/>
      <c r="C29" s="47"/>
      <c r="D29" s="48"/>
      <c r="E29" s="49">
        <f>4/19</f>
        <v>0.21052631578947367</v>
      </c>
      <c r="F29" s="55" t="s">
        <v>83</v>
      </c>
      <c r="G29" s="56">
        <v>475.6666666666667</v>
      </c>
      <c r="H29" s="50">
        <f t="shared" si="0"/>
        <v>100.14035087719299</v>
      </c>
      <c r="I29" s="57">
        <f t="shared" si="1"/>
        <v>0.018680240975108578</v>
      </c>
      <c r="J29" s="58">
        <f t="shared" si="2"/>
        <v>0.018904569657703124</v>
      </c>
      <c r="K29" s="121"/>
    </row>
    <row r="30" spans="1:11" ht="12.75">
      <c r="A30" s="53" t="s">
        <v>84</v>
      </c>
      <c r="B30" s="47"/>
      <c r="C30" s="47"/>
      <c r="D30" s="48"/>
      <c r="E30" s="49">
        <f>3.33/31</f>
        <v>0.10741935483870968</v>
      </c>
      <c r="F30" s="55" t="s">
        <v>24</v>
      </c>
      <c r="G30" s="56">
        <v>345.8333333333333</v>
      </c>
      <c r="H30" s="50">
        <f t="shared" si="0"/>
        <v>37.149193548387096</v>
      </c>
      <c r="I30" s="57">
        <f t="shared" si="1"/>
        <v>0.009531442310444515</v>
      </c>
      <c r="J30" s="58">
        <f t="shared" si="2"/>
        <v>0.007013052291221062</v>
      </c>
      <c r="K30" s="121"/>
    </row>
    <row r="31" spans="1:11" ht="12.75">
      <c r="A31" s="53" t="s">
        <v>85</v>
      </c>
      <c r="B31" s="47"/>
      <c r="C31" s="47"/>
      <c r="D31" s="48"/>
      <c r="E31" s="49">
        <f>5/30</f>
        <v>0.16666666666666666</v>
      </c>
      <c r="F31" s="55" t="s">
        <v>24</v>
      </c>
      <c r="G31" s="56">
        <v>325</v>
      </c>
      <c r="H31" s="50">
        <f t="shared" si="0"/>
        <v>54.166666666666664</v>
      </c>
      <c r="I31" s="57">
        <f t="shared" si="1"/>
        <v>0.014788524105294291</v>
      </c>
      <c r="J31" s="58">
        <f t="shared" si="2"/>
        <v>0.010225623479004624</v>
      </c>
      <c r="K31" s="121"/>
    </row>
    <row r="32" spans="1:11" ht="12.75">
      <c r="A32" s="53" t="s">
        <v>86</v>
      </c>
      <c r="B32" s="47"/>
      <c r="C32" s="47"/>
      <c r="D32" s="48"/>
      <c r="E32" s="49">
        <f>0.71/26</f>
        <v>0.027307692307692307</v>
      </c>
      <c r="F32" s="55" t="s">
        <v>24</v>
      </c>
      <c r="G32" s="56">
        <v>744.6</v>
      </c>
      <c r="H32" s="50">
        <f t="shared" si="0"/>
        <v>20.33330769230769</v>
      </c>
      <c r="I32" s="57">
        <f t="shared" si="1"/>
        <v>0.0024230427957136033</v>
      </c>
      <c r="J32" s="58">
        <f t="shared" si="2"/>
        <v>0.003838536896202219</v>
      </c>
      <c r="K32" s="121"/>
    </row>
    <row r="33" spans="1:11" ht="12.75">
      <c r="A33" s="53" t="s">
        <v>87</v>
      </c>
      <c r="B33" s="47"/>
      <c r="C33" s="47"/>
      <c r="D33" s="48"/>
      <c r="E33" s="49">
        <f>1/30</f>
        <v>0.03333333333333333</v>
      </c>
      <c r="F33" s="55" t="s">
        <v>24</v>
      </c>
      <c r="G33" s="56">
        <v>1820</v>
      </c>
      <c r="H33" s="50">
        <f t="shared" si="0"/>
        <v>60.666666666666664</v>
      </c>
      <c r="I33" s="57">
        <f t="shared" si="1"/>
        <v>0.0029577048210588583</v>
      </c>
      <c r="J33" s="58">
        <f t="shared" si="2"/>
        <v>0.01145269829648518</v>
      </c>
      <c r="K33" s="121"/>
    </row>
    <row r="34" spans="1:11" ht="12.75">
      <c r="A34" s="53" t="s">
        <v>88</v>
      </c>
      <c r="B34" s="47"/>
      <c r="C34" s="47"/>
      <c r="D34" s="48"/>
      <c r="E34" s="49">
        <v>1</v>
      </c>
      <c r="F34" s="55" t="s">
        <v>13</v>
      </c>
      <c r="G34" s="56">
        <v>150</v>
      </c>
      <c r="H34" s="50">
        <f t="shared" si="0"/>
        <v>150</v>
      </c>
      <c r="I34" s="57">
        <f t="shared" si="1"/>
        <v>0.08873114463176575</v>
      </c>
      <c r="J34" s="58">
        <f t="shared" si="2"/>
        <v>0.02831711117262819</v>
      </c>
      <c r="K34" s="121"/>
    </row>
    <row r="35" spans="1:11" ht="12.75">
      <c r="A35" s="53" t="s">
        <v>89</v>
      </c>
      <c r="B35" s="47"/>
      <c r="C35" s="47"/>
      <c r="D35" s="48"/>
      <c r="E35" s="59">
        <v>1</v>
      </c>
      <c r="F35" s="55" t="s">
        <v>13</v>
      </c>
      <c r="G35" s="56">
        <v>46.94958333333334</v>
      </c>
      <c r="H35" s="50">
        <f>IF(E35*G35,+E35*G35,"        ")</f>
        <v>46.94958333333334</v>
      </c>
      <c r="I35" s="57">
        <f t="shared" si="1"/>
        <v>0.08873114463176575</v>
      </c>
      <c r="J35" s="58">
        <f t="shared" si="2"/>
        <v>0.008863177138390478</v>
      </c>
      <c r="K35" s="121"/>
    </row>
    <row r="36" spans="1:13" ht="12.75" customHeight="1">
      <c r="A36" s="60"/>
      <c r="B36" s="47"/>
      <c r="C36" s="47"/>
      <c r="D36" s="48"/>
      <c r="E36" s="59"/>
      <c r="F36" s="61"/>
      <c r="G36" s="56"/>
      <c r="H36" s="50"/>
      <c r="I36" s="57"/>
      <c r="J36" s="58">
        <f t="shared" si="2"/>
        <v>0</v>
      </c>
      <c r="K36" s="121"/>
      <c r="L36" s="121"/>
      <c r="M36" s="8">
        <f>+L36/12</f>
        <v>0</v>
      </c>
    </row>
    <row r="37" spans="1:13" ht="12.75">
      <c r="A37" s="53" t="s">
        <v>23</v>
      </c>
      <c r="B37" s="47"/>
      <c r="C37" s="47"/>
      <c r="D37" s="48"/>
      <c r="E37" s="59">
        <v>0.178</v>
      </c>
      <c r="F37" s="55" t="s">
        <v>7</v>
      </c>
      <c r="G37" s="56">
        <f>+$B$15</f>
        <v>500</v>
      </c>
      <c r="H37" s="50">
        <f>IF(E37*G37,+E37*G37,"        ")</f>
        <v>89</v>
      </c>
      <c r="I37" s="57">
        <f>E37/B$11</f>
        <v>0.015794143744454304</v>
      </c>
      <c r="J37" s="58">
        <f>H37/H$89</f>
        <v>0.01680148596242606</v>
      </c>
      <c r="K37" s="121"/>
      <c r="L37" s="8"/>
      <c r="M37" s="8">
        <f>+M36*7</f>
        <v>0</v>
      </c>
    </row>
    <row r="38" spans="1:13" ht="14.25" customHeight="1">
      <c r="A38" s="60"/>
      <c r="B38" s="47"/>
      <c r="C38" s="47"/>
      <c r="D38" s="48"/>
      <c r="E38" s="48"/>
      <c r="F38" s="61"/>
      <c r="G38" s="56"/>
      <c r="H38" s="48"/>
      <c r="I38" s="57"/>
      <c r="J38" s="58"/>
      <c r="L38" s="8"/>
      <c r="M38" s="8"/>
    </row>
    <row r="39" spans="1:10" ht="12.75">
      <c r="A39" s="62" t="s">
        <v>22</v>
      </c>
      <c r="B39" s="47"/>
      <c r="C39" s="47"/>
      <c r="D39" s="48"/>
      <c r="E39" s="59"/>
      <c r="F39" s="61"/>
      <c r="G39" s="50"/>
      <c r="H39" s="50"/>
      <c r="I39" s="57"/>
      <c r="J39" s="58"/>
    </row>
    <row r="40" spans="1:10" ht="12.75">
      <c r="A40" s="53" t="s">
        <v>21</v>
      </c>
      <c r="B40" s="47"/>
      <c r="C40" s="47"/>
      <c r="D40" s="48"/>
      <c r="E40" s="59">
        <v>1</v>
      </c>
      <c r="F40" s="55" t="s">
        <v>13</v>
      </c>
      <c r="G40" s="56">
        <v>250</v>
      </c>
      <c r="H40" s="50">
        <f>IF(E40*G40,+E40*G40,"        ")</f>
        <v>250</v>
      </c>
      <c r="I40" s="57">
        <f>E40/B$11</f>
        <v>0.08873114463176575</v>
      </c>
      <c r="J40" s="58">
        <f>H40/H$89</f>
        <v>0.04719518528771365</v>
      </c>
    </row>
    <row r="41" spans="1:11" ht="12.75">
      <c r="A41" s="53" t="s">
        <v>20</v>
      </c>
      <c r="B41" s="47"/>
      <c r="C41" s="63"/>
      <c r="D41" s="48"/>
      <c r="E41" s="59">
        <v>1</v>
      </c>
      <c r="F41" s="55" t="s">
        <v>13</v>
      </c>
      <c r="G41" s="56">
        <v>200</v>
      </c>
      <c r="H41" s="50">
        <f>IF(E41*G41,+E41*G41,"        ")</f>
        <v>200</v>
      </c>
      <c r="I41" s="57">
        <f>E41/B$11</f>
        <v>0.08873114463176575</v>
      </c>
      <c r="J41" s="58">
        <f>H41/H$89</f>
        <v>0.03775614823017092</v>
      </c>
      <c r="K41" s="7"/>
    </row>
    <row r="42" spans="1:10" ht="12.75">
      <c r="A42" s="53" t="s">
        <v>19</v>
      </c>
      <c r="B42" s="47"/>
      <c r="C42" s="63"/>
      <c r="D42" s="48"/>
      <c r="E42" s="59">
        <v>1</v>
      </c>
      <c r="F42" s="55" t="s">
        <v>13</v>
      </c>
      <c r="G42" s="56">
        <v>200</v>
      </c>
      <c r="H42" s="50">
        <f>IF(E42*G42,+E42*G42,"        ")</f>
        <v>200</v>
      </c>
      <c r="I42" s="57">
        <f>E42/B$11</f>
        <v>0.08873114463176575</v>
      </c>
      <c r="J42" s="58">
        <f>H42/H$89</f>
        <v>0.03775614823017092</v>
      </c>
    </row>
    <row r="43" spans="1:10" ht="14.25" customHeight="1">
      <c r="A43" s="53" t="s">
        <v>18</v>
      </c>
      <c r="B43" s="47"/>
      <c r="C43" s="47"/>
      <c r="D43" s="48"/>
      <c r="E43" s="59">
        <v>1</v>
      </c>
      <c r="F43" s="55" t="s">
        <v>13</v>
      </c>
      <c r="G43" s="56">
        <v>220</v>
      </c>
      <c r="H43" s="50">
        <f>IF(E43*G43,+E43*G43,"        ")</f>
        <v>220</v>
      </c>
      <c r="I43" s="57">
        <f>E43/B$11</f>
        <v>0.08873114463176575</v>
      </c>
      <c r="J43" s="58">
        <f>H43/H$89</f>
        <v>0.04153176305318801</v>
      </c>
    </row>
    <row r="44" spans="1:10" ht="11.25" customHeight="1">
      <c r="A44" s="60"/>
      <c r="B44" s="47"/>
      <c r="C44" s="47"/>
      <c r="D44" s="48"/>
      <c r="E44" s="48"/>
      <c r="F44" s="61"/>
      <c r="G44" s="56"/>
      <c r="H44" s="64"/>
      <c r="I44" s="57"/>
      <c r="J44" s="58"/>
    </row>
    <row r="45" spans="1:10" ht="12.75">
      <c r="A45" s="53" t="s">
        <v>17</v>
      </c>
      <c r="B45" s="47"/>
      <c r="C45" s="47"/>
      <c r="D45" s="55" t="s">
        <v>16</v>
      </c>
      <c r="E45" s="59">
        <v>0.666</v>
      </c>
      <c r="F45" s="55" t="s">
        <v>7</v>
      </c>
      <c r="G45" s="56">
        <f>+$B$15</f>
        <v>500</v>
      </c>
      <c r="H45" s="50">
        <f>IF(E45*G45,+E45*G45,"        ")</f>
        <v>333</v>
      </c>
      <c r="I45" s="57">
        <f>E45/B$11</f>
        <v>0.059094942324756</v>
      </c>
      <c r="J45" s="58">
        <f>H45/H$89</f>
        <v>0.06286398680323459</v>
      </c>
    </row>
    <row r="46" spans="1:11" ht="12.75">
      <c r="A46" s="60"/>
      <c r="B46" s="47"/>
      <c r="C46" s="47"/>
      <c r="D46" s="48"/>
      <c r="E46" s="59"/>
      <c r="F46" s="61"/>
      <c r="G46" s="56"/>
      <c r="H46" s="50"/>
      <c r="I46" s="57"/>
      <c r="J46" s="58"/>
      <c r="K46" s="7"/>
    </row>
    <row r="47" spans="1:10" ht="12.75">
      <c r="A47" s="53" t="s">
        <v>15</v>
      </c>
      <c r="B47" s="47"/>
      <c r="C47" s="47"/>
      <c r="D47" s="48"/>
      <c r="E47" s="59">
        <v>0.198</v>
      </c>
      <c r="F47" s="55" t="s">
        <v>7</v>
      </c>
      <c r="G47" s="56">
        <f>+$B$15</f>
        <v>500</v>
      </c>
      <c r="H47" s="50">
        <f>IF(E47*G47,+E47*G47,"        ")</f>
        <v>99</v>
      </c>
      <c r="I47" s="57">
        <f>E47/B$11</f>
        <v>0.01756876663708962</v>
      </c>
      <c r="J47" s="58">
        <f>H47/H$89</f>
        <v>0.018689293373934605</v>
      </c>
    </row>
    <row r="48" spans="1:10" ht="12.75">
      <c r="A48" s="60"/>
      <c r="B48" s="47"/>
      <c r="C48" s="47"/>
      <c r="D48" s="48"/>
      <c r="E48" s="59"/>
      <c r="F48" s="61"/>
      <c r="G48" s="56"/>
      <c r="H48" s="50"/>
      <c r="I48" s="57"/>
      <c r="J48" s="58"/>
    </row>
    <row r="49" spans="1:10" ht="14.25" customHeight="1">
      <c r="A49" s="60" t="s">
        <v>94</v>
      </c>
      <c r="B49" s="47"/>
      <c r="C49" s="47"/>
      <c r="D49" s="48"/>
      <c r="E49" s="65">
        <v>0.1</v>
      </c>
      <c r="F49" s="55" t="s">
        <v>7</v>
      </c>
      <c r="G49" s="56">
        <f>+$B$15</f>
        <v>500</v>
      </c>
      <c r="H49" s="50">
        <f>IF(E49*G49,+E49*G49,"        ")</f>
        <v>50</v>
      </c>
      <c r="I49" s="57">
        <f>E49/B$11</f>
        <v>0.008873114463176577</v>
      </c>
      <c r="J49" s="58">
        <f>H49/H$89</f>
        <v>0.00943903705754273</v>
      </c>
    </row>
    <row r="50" spans="1:10" ht="14.25" customHeight="1" thickBot="1">
      <c r="A50" s="66" t="s">
        <v>75</v>
      </c>
      <c r="B50" s="67"/>
      <c r="C50" s="67"/>
      <c r="D50" s="68"/>
      <c r="E50" s="69"/>
      <c r="F50" s="70"/>
      <c r="G50" s="71"/>
      <c r="H50" s="71"/>
      <c r="I50" s="72"/>
      <c r="J50" s="73"/>
    </row>
    <row r="51" spans="1:10" s="3" customFormat="1" ht="15" customHeight="1">
      <c r="A51" s="47"/>
      <c r="B51" s="47"/>
      <c r="C51" s="47"/>
      <c r="D51" s="47"/>
      <c r="E51" s="74"/>
      <c r="F51" s="75"/>
      <c r="G51" s="76"/>
      <c r="H51" s="76"/>
      <c r="I51" s="77"/>
      <c r="J51" s="78"/>
    </row>
    <row r="52" spans="1:10" ht="22.5" customHeight="1" thickBot="1">
      <c r="A52" s="169" t="s">
        <v>114</v>
      </c>
      <c r="B52" s="169"/>
      <c r="C52" s="169"/>
      <c r="D52" s="169"/>
      <c r="E52" s="169"/>
      <c r="F52" s="169"/>
      <c r="G52" s="169"/>
      <c r="H52" s="169"/>
      <c r="I52" s="169"/>
      <c r="J52" s="169"/>
    </row>
    <row r="53" spans="1:10" ht="15" customHeight="1">
      <c r="A53" s="79"/>
      <c r="B53" s="80"/>
      <c r="C53" s="80"/>
      <c r="D53" s="45"/>
      <c r="E53" s="81"/>
      <c r="F53" s="82"/>
      <c r="G53" s="83"/>
      <c r="H53" s="83"/>
      <c r="I53" s="84"/>
      <c r="J53" s="46"/>
    </row>
    <row r="54" spans="1:10" ht="12.75">
      <c r="A54" s="53" t="s">
        <v>95</v>
      </c>
      <c r="B54" s="47"/>
      <c r="C54" s="47"/>
      <c r="D54" s="48"/>
      <c r="E54" s="59">
        <v>0.834</v>
      </c>
      <c r="F54" s="55" t="s">
        <v>7</v>
      </c>
      <c r="G54" s="56">
        <f>+$B$15</f>
        <v>500</v>
      </c>
      <c r="H54" s="50">
        <f>IF(E54*G54,+E54*G54,"        ")</f>
        <v>417</v>
      </c>
      <c r="I54" s="57">
        <f>E54/B$11</f>
        <v>0.07400177462289263</v>
      </c>
      <c r="J54" s="58">
        <f>H54/H$89</f>
        <v>0.07872156905990636</v>
      </c>
    </row>
    <row r="55" spans="1:10" ht="16.5" customHeight="1">
      <c r="A55" s="60"/>
      <c r="B55" s="47"/>
      <c r="C55" s="54"/>
      <c r="D55" s="48"/>
      <c r="E55" s="59"/>
      <c r="F55" s="61"/>
      <c r="G55" s="56"/>
      <c r="H55" s="50"/>
      <c r="I55" s="57"/>
      <c r="J55" s="58"/>
    </row>
    <row r="56" spans="1:10" ht="12.75">
      <c r="A56" s="53" t="s">
        <v>96</v>
      </c>
      <c r="B56" s="47"/>
      <c r="C56" s="47"/>
      <c r="D56" s="55" t="s">
        <v>14</v>
      </c>
      <c r="E56" s="59">
        <v>1</v>
      </c>
      <c r="F56" s="55" t="s">
        <v>13</v>
      </c>
      <c r="G56" s="56">
        <v>100</v>
      </c>
      <c r="H56" s="50">
        <f>IF(E56*G56,+E56*G56,"        ")</f>
        <v>100</v>
      </c>
      <c r="I56" s="57">
        <f>E56/B$11</f>
        <v>0.08873114463176575</v>
      </c>
      <c r="J56" s="58">
        <f>H56/H$89</f>
        <v>0.01887807411508546</v>
      </c>
    </row>
    <row r="57" spans="1:10" ht="6.75" customHeight="1">
      <c r="A57" s="60"/>
      <c r="B57" s="47"/>
      <c r="C57" s="54"/>
      <c r="D57" s="48"/>
      <c r="E57" s="59"/>
      <c r="F57" s="61"/>
      <c r="G57" s="56"/>
      <c r="H57" s="50"/>
      <c r="I57" s="57"/>
      <c r="J57" s="58"/>
    </row>
    <row r="58" spans="1:10" ht="12.75">
      <c r="A58" s="53" t="s">
        <v>97</v>
      </c>
      <c r="B58" s="47"/>
      <c r="C58" s="47"/>
      <c r="D58" s="48"/>
      <c r="E58" s="59">
        <v>0.17</v>
      </c>
      <c r="F58" s="55" t="s">
        <v>7</v>
      </c>
      <c r="G58" s="56">
        <f>+$B$15</f>
        <v>500</v>
      </c>
      <c r="H58" s="50">
        <f>IF(E58*G58,+E58*G58,"        ")</f>
        <v>85</v>
      </c>
      <c r="I58" s="57">
        <f>E58/B$11</f>
        <v>0.015084294587400179</v>
      </c>
      <c r="J58" s="58">
        <f>H58/H$89</f>
        <v>0.016046362997822642</v>
      </c>
    </row>
    <row r="59" spans="1:10" ht="7.5" customHeight="1">
      <c r="A59" s="60"/>
      <c r="B59" s="47"/>
      <c r="C59" s="47"/>
      <c r="D59" s="48"/>
      <c r="E59" s="59"/>
      <c r="F59" s="61"/>
      <c r="G59" s="56"/>
      <c r="H59" s="50"/>
      <c r="I59" s="57"/>
      <c r="J59" s="58"/>
    </row>
    <row r="60" spans="1:10" ht="12.75">
      <c r="A60" s="53" t="s">
        <v>98</v>
      </c>
      <c r="B60" s="47"/>
      <c r="C60" s="54"/>
      <c r="D60" s="48"/>
      <c r="E60" s="59">
        <v>0.856</v>
      </c>
      <c r="F60" s="55" t="s">
        <v>7</v>
      </c>
      <c r="G60" s="56">
        <f>+$B$15</f>
        <v>500</v>
      </c>
      <c r="H60" s="50">
        <f>G60*E60</f>
        <v>428</v>
      </c>
      <c r="I60" s="57">
        <f>E60/B$11</f>
        <v>0.07595385980479148</v>
      </c>
      <c r="J60" s="58">
        <f>H60/H$89</f>
        <v>0.08079815721256577</v>
      </c>
    </row>
    <row r="61" spans="1:10" ht="12.75">
      <c r="A61" s="60"/>
      <c r="B61" s="47"/>
      <c r="C61" s="47"/>
      <c r="D61" s="48"/>
      <c r="E61" s="48"/>
      <c r="F61" s="48"/>
      <c r="G61" s="56"/>
      <c r="H61" s="48"/>
      <c r="I61" s="57"/>
      <c r="J61" s="58"/>
    </row>
    <row r="62" spans="1:10" ht="12.75">
      <c r="A62" s="53" t="s">
        <v>99</v>
      </c>
      <c r="B62" s="47"/>
      <c r="C62" s="47"/>
      <c r="D62" s="55" t="s">
        <v>11</v>
      </c>
      <c r="E62" s="85"/>
      <c r="F62" s="61"/>
      <c r="G62" s="56"/>
      <c r="H62" s="48"/>
      <c r="I62" s="57"/>
      <c r="J62" s="58"/>
    </row>
    <row r="63" spans="1:10" ht="12.75">
      <c r="A63" s="53" t="s">
        <v>90</v>
      </c>
      <c r="B63" s="47"/>
      <c r="C63" s="47"/>
      <c r="D63" s="48"/>
      <c r="E63" s="86">
        <v>0.1</v>
      </c>
      <c r="F63" s="55" t="s">
        <v>7</v>
      </c>
      <c r="G63" s="56">
        <f>+$B$15</f>
        <v>500</v>
      </c>
      <c r="H63" s="50">
        <f>IF(E63*G63,+E63*G63,"        ")</f>
        <v>50</v>
      </c>
      <c r="I63" s="57">
        <f>E63/B$11</f>
        <v>0.008873114463176577</v>
      </c>
      <c r="J63" s="58">
        <f>H63/H$89</f>
        <v>0.00943903705754273</v>
      </c>
    </row>
    <row r="64" spans="1:10" ht="12.75">
      <c r="A64" s="53" t="s">
        <v>91</v>
      </c>
      <c r="B64" s="47"/>
      <c r="C64" s="47"/>
      <c r="D64" s="48"/>
      <c r="E64" s="49"/>
      <c r="F64" s="55"/>
      <c r="G64" s="56"/>
      <c r="H64" s="50"/>
      <c r="I64" s="57"/>
      <c r="J64" s="58"/>
    </row>
    <row r="65" spans="1:10" s="3" customFormat="1" ht="12.75">
      <c r="A65" s="53"/>
      <c r="B65" s="47"/>
      <c r="C65" s="87"/>
      <c r="D65" s="87"/>
      <c r="E65" s="49"/>
      <c r="F65" s="55"/>
      <c r="G65" s="56"/>
      <c r="H65" s="50"/>
      <c r="I65" s="88"/>
      <c r="J65" s="58"/>
    </row>
    <row r="66" spans="1:10" s="3" customFormat="1" ht="12.75">
      <c r="A66" s="53" t="s">
        <v>100</v>
      </c>
      <c r="B66" s="47"/>
      <c r="C66" s="87"/>
      <c r="D66" s="89" t="s">
        <v>12</v>
      </c>
      <c r="E66" s="59">
        <v>0.184</v>
      </c>
      <c r="F66" s="55" t="s">
        <v>7</v>
      </c>
      <c r="G66" s="56">
        <f>+$B$15</f>
        <v>500</v>
      </c>
      <c r="H66" s="90">
        <f>G66*E66</f>
        <v>92</v>
      </c>
      <c r="I66" s="57">
        <f>E66/B$11</f>
        <v>0.0163265306122449</v>
      </c>
      <c r="J66" s="58">
        <f>H66/H$89</f>
        <v>0.017367828185878623</v>
      </c>
    </row>
    <row r="67" spans="1:10" ht="12.75" customHeight="1">
      <c r="A67" s="91"/>
      <c r="B67" s="75"/>
      <c r="C67" s="92"/>
      <c r="D67" s="92"/>
      <c r="E67" s="61"/>
      <c r="F67" s="61"/>
      <c r="G67" s="56"/>
      <c r="H67" s="61"/>
      <c r="I67" s="61"/>
      <c r="J67" s="93"/>
    </row>
    <row r="68" spans="1:10" ht="14.25" customHeight="1">
      <c r="A68" s="60" t="s">
        <v>101</v>
      </c>
      <c r="B68" s="47"/>
      <c r="C68" s="87"/>
      <c r="D68" s="87"/>
      <c r="E68" s="86">
        <v>0.1</v>
      </c>
      <c r="F68" s="55" t="s">
        <v>7</v>
      </c>
      <c r="G68" s="56">
        <f>+$B$15</f>
        <v>500</v>
      </c>
      <c r="H68" s="50">
        <f>IF(E68*G68,+E68*G68,"        ")</f>
        <v>50</v>
      </c>
      <c r="I68" s="57">
        <f>E68/B$11</f>
        <v>0.008873114463176577</v>
      </c>
      <c r="J68" s="58">
        <f>H68/H$89</f>
        <v>0.00943903705754273</v>
      </c>
    </row>
    <row r="69" spans="1:10" ht="14.25" customHeight="1">
      <c r="A69" s="60" t="s">
        <v>75</v>
      </c>
      <c r="B69" s="47"/>
      <c r="C69" s="87"/>
      <c r="D69" s="87"/>
      <c r="E69" s="49"/>
      <c r="F69" s="61"/>
      <c r="G69" s="56"/>
      <c r="H69" s="50"/>
      <c r="I69" s="51"/>
      <c r="J69" s="52"/>
    </row>
    <row r="70" spans="1:10" ht="6.75" customHeight="1">
      <c r="A70" s="60"/>
      <c r="B70" s="47"/>
      <c r="C70" s="47"/>
      <c r="D70" s="48"/>
      <c r="E70" s="48"/>
      <c r="F70" s="61"/>
      <c r="G70" s="56"/>
      <c r="H70" s="50"/>
      <c r="I70" s="57"/>
      <c r="J70" s="58"/>
    </row>
    <row r="71" spans="1:10" ht="12.75">
      <c r="A71" s="53" t="s">
        <v>102</v>
      </c>
      <c r="B71" s="47"/>
      <c r="C71" s="47"/>
      <c r="D71" s="48"/>
      <c r="E71" s="59">
        <v>0.836</v>
      </c>
      <c r="F71" s="55" t="s">
        <v>7</v>
      </c>
      <c r="G71" s="56">
        <f>+$B$15</f>
        <v>500</v>
      </c>
      <c r="H71" s="50">
        <f>IF(E71*G71,+E71*G71,"        ")</f>
        <v>418</v>
      </c>
      <c r="I71" s="57">
        <f>E71/B$11</f>
        <v>0.07417923691215617</v>
      </c>
      <c r="J71" s="58">
        <f>H71/H$89</f>
        <v>0.07891034980105723</v>
      </c>
    </row>
    <row r="72" spans="1:10" ht="12.75">
      <c r="A72" s="60"/>
      <c r="B72" s="47"/>
      <c r="C72" s="47"/>
      <c r="D72" s="48"/>
      <c r="E72" s="48"/>
      <c r="F72" s="61"/>
      <c r="G72" s="56"/>
      <c r="H72" s="50"/>
      <c r="I72" s="57"/>
      <c r="J72" s="58"/>
    </row>
    <row r="73" spans="1:10" ht="12.75">
      <c r="A73" s="53" t="s">
        <v>103</v>
      </c>
      <c r="B73" s="47"/>
      <c r="C73" s="63"/>
      <c r="D73" s="55" t="s">
        <v>11</v>
      </c>
      <c r="E73" s="59"/>
      <c r="F73" s="61"/>
      <c r="G73" s="56"/>
      <c r="H73" s="50"/>
      <c r="I73" s="57"/>
      <c r="J73" s="58"/>
    </row>
    <row r="74" spans="1:11" ht="12.75">
      <c r="A74" s="53" t="s">
        <v>93</v>
      </c>
      <c r="B74" s="47"/>
      <c r="C74" s="63"/>
      <c r="D74" s="94"/>
      <c r="E74" s="86">
        <v>0.1</v>
      </c>
      <c r="F74" s="55" t="s">
        <v>7</v>
      </c>
      <c r="G74" s="56">
        <f>+$B$15</f>
        <v>500</v>
      </c>
      <c r="H74" s="50">
        <f>IF(E74*G74,+E74*G74,"        ")</f>
        <v>50</v>
      </c>
      <c r="I74" s="57">
        <f>E74/B$11</f>
        <v>0.008873114463176577</v>
      </c>
      <c r="J74" s="58">
        <f>H74/H$89</f>
        <v>0.00943903705754273</v>
      </c>
      <c r="K74" s="7"/>
    </row>
    <row r="75" spans="1:10" ht="12.75">
      <c r="A75" s="53" t="s">
        <v>92</v>
      </c>
      <c r="B75" s="47"/>
      <c r="C75" s="47"/>
      <c r="D75" s="48"/>
      <c r="E75" s="48"/>
      <c r="F75" s="61"/>
      <c r="G75" s="56"/>
      <c r="H75" s="50"/>
      <c r="I75" s="57"/>
      <c r="J75" s="58"/>
    </row>
    <row r="76" spans="1:10" ht="12.75">
      <c r="A76" s="53"/>
      <c r="B76" s="47"/>
      <c r="C76" s="47"/>
      <c r="D76" s="48"/>
      <c r="E76" s="48"/>
      <c r="F76" s="61"/>
      <c r="G76" s="48"/>
      <c r="H76" s="50"/>
      <c r="I76" s="57"/>
      <c r="J76" s="58"/>
    </row>
    <row r="77" spans="1:10" ht="12.75">
      <c r="A77" s="53" t="s">
        <v>104</v>
      </c>
      <c r="B77" s="47"/>
      <c r="C77" s="47"/>
      <c r="D77" s="55" t="s">
        <v>10</v>
      </c>
      <c r="E77" s="59">
        <v>0.19</v>
      </c>
      <c r="F77" s="55" t="s">
        <v>7</v>
      </c>
      <c r="G77" s="56">
        <f>+$B$15</f>
        <v>500</v>
      </c>
      <c r="H77" s="50">
        <f>IF(E77*G77,+E77*G77,"        ")</f>
        <v>95</v>
      </c>
      <c r="I77" s="57">
        <f>E77/B$11</f>
        <v>0.01685891748003549</v>
      </c>
      <c r="J77" s="58">
        <f>H77/H$89</f>
        <v>0.017934170409331186</v>
      </c>
    </row>
    <row r="78" spans="1:10" ht="12.75">
      <c r="A78" s="60"/>
      <c r="B78" s="47"/>
      <c r="C78" s="47"/>
      <c r="D78" s="48"/>
      <c r="E78" s="48"/>
      <c r="F78" s="61"/>
      <c r="G78" s="56"/>
      <c r="H78" s="48"/>
      <c r="I78" s="57"/>
      <c r="J78" s="58"/>
    </row>
    <row r="79" spans="1:10" ht="12.75">
      <c r="A79" s="53" t="s">
        <v>105</v>
      </c>
      <c r="B79" s="47"/>
      <c r="C79" s="47"/>
      <c r="D79" s="55" t="s">
        <v>9</v>
      </c>
      <c r="E79" s="59">
        <v>0.172</v>
      </c>
      <c r="F79" s="55" t="s">
        <v>7</v>
      </c>
      <c r="G79" s="56">
        <f>+$B$15</f>
        <v>500</v>
      </c>
      <c r="H79" s="50">
        <f>IF(E79*G79,+E79*G79,"        ")</f>
        <v>86</v>
      </c>
      <c r="I79" s="57">
        <f>E79/B$11</f>
        <v>0.015261756876663708</v>
      </c>
      <c r="J79" s="58">
        <f>H79/H$89</f>
        <v>0.016235143738973494</v>
      </c>
    </row>
    <row r="80" spans="1:10" ht="12.75">
      <c r="A80" s="60"/>
      <c r="B80" s="47"/>
      <c r="C80" s="47"/>
      <c r="D80" s="48"/>
      <c r="E80" s="48"/>
      <c r="F80" s="61"/>
      <c r="G80" s="56"/>
      <c r="H80" s="64"/>
      <c r="I80" s="57"/>
      <c r="J80" s="58"/>
    </row>
    <row r="81" spans="1:10" ht="12.75">
      <c r="A81" s="53" t="s">
        <v>106</v>
      </c>
      <c r="B81" s="47"/>
      <c r="C81" s="47"/>
      <c r="D81" s="55" t="s">
        <v>8</v>
      </c>
      <c r="E81" s="59">
        <v>1.532</v>
      </c>
      <c r="F81" s="55" t="s">
        <v>7</v>
      </c>
      <c r="G81" s="56">
        <f>+$B$15</f>
        <v>500</v>
      </c>
      <c r="H81" s="50">
        <f>IF(E81*G81,+E81*G81,"        ")</f>
        <v>766</v>
      </c>
      <c r="I81" s="57">
        <f>E81/B$11</f>
        <v>0.13593611357586513</v>
      </c>
      <c r="J81" s="58">
        <f>H81/H$89</f>
        <v>0.1446060477215546</v>
      </c>
    </row>
    <row r="82" spans="1:10" ht="13.5" thickBot="1">
      <c r="A82" s="95"/>
      <c r="B82" s="96"/>
      <c r="C82" s="96"/>
      <c r="D82" s="97"/>
      <c r="E82" s="98"/>
      <c r="F82" s="99"/>
      <c r="G82" s="100"/>
      <c r="H82" s="100"/>
      <c r="I82" s="101"/>
      <c r="J82" s="102"/>
    </row>
    <row r="83" spans="1:10" s="3" customFormat="1" ht="12.75">
      <c r="A83" s="39"/>
      <c r="B83" s="39"/>
      <c r="C83" s="39"/>
      <c r="D83" s="39"/>
      <c r="E83" s="103"/>
      <c r="F83" s="39"/>
      <c r="G83" s="104"/>
      <c r="H83" s="104"/>
      <c r="I83" s="47"/>
      <c r="J83" s="78"/>
    </row>
    <row r="84" spans="1:10" s="3" customFormat="1" ht="13.5" thickBot="1">
      <c r="A84" s="169" t="s">
        <v>115</v>
      </c>
      <c r="B84" s="169"/>
      <c r="C84" s="169"/>
      <c r="D84" s="169"/>
      <c r="E84" s="169"/>
      <c r="F84" s="169"/>
      <c r="G84" s="169"/>
      <c r="H84" s="169"/>
      <c r="I84" s="169"/>
      <c r="J84" s="169"/>
    </row>
    <row r="85" spans="1:10" ht="12.75">
      <c r="A85" s="105" t="s">
        <v>6</v>
      </c>
      <c r="B85" s="41"/>
      <c r="C85" s="106"/>
      <c r="D85" s="80"/>
      <c r="E85" s="80"/>
      <c r="F85" s="41"/>
      <c r="G85" s="107"/>
      <c r="H85" s="108">
        <f>SUM(H24:H81)</f>
        <v>4962.053141162177</v>
      </c>
      <c r="I85" s="9"/>
      <c r="J85" s="109"/>
    </row>
    <row r="86" spans="1:10" ht="12.75">
      <c r="A86" s="53" t="s">
        <v>70</v>
      </c>
      <c r="B86" s="47"/>
      <c r="C86" s="39"/>
      <c r="D86" s="39"/>
      <c r="E86" s="39"/>
      <c r="F86" s="39"/>
      <c r="G86" s="76"/>
      <c r="H86" s="110">
        <f>(H85*0.02)</f>
        <v>99.24106282324354</v>
      </c>
      <c r="I86" s="9"/>
      <c r="J86" s="15"/>
    </row>
    <row r="87" spans="1:10" ht="12.75">
      <c r="A87" s="53" t="s">
        <v>5</v>
      </c>
      <c r="B87" s="47"/>
      <c r="C87" s="39"/>
      <c r="D87" s="39"/>
      <c r="E87" s="39"/>
      <c r="F87" s="39"/>
      <c r="G87" s="76"/>
      <c r="H87" s="110">
        <v>0</v>
      </c>
      <c r="I87" s="9"/>
      <c r="J87" s="15"/>
    </row>
    <row r="88" spans="1:12" ht="12.75">
      <c r="A88" s="53" t="s">
        <v>117</v>
      </c>
      <c r="B88" s="47"/>
      <c r="C88" s="47"/>
      <c r="D88" s="47"/>
      <c r="E88" s="47"/>
      <c r="F88" s="47"/>
      <c r="G88" s="47"/>
      <c r="H88" s="111">
        <f>SUM(H85:H87)*0.0466</f>
        <v>235.85630990572062</v>
      </c>
      <c r="I88" s="124">
        <f>+H86+H88</f>
        <v>335.09737272896416</v>
      </c>
      <c r="J88" s="109"/>
      <c r="L88" s="8"/>
    </row>
    <row r="89" spans="1:12" ht="13.5" thickBot="1">
      <c r="A89" s="125" t="s">
        <v>4</v>
      </c>
      <c r="B89" s="126"/>
      <c r="C89" s="126"/>
      <c r="D89" s="126"/>
      <c r="E89" s="126"/>
      <c r="F89" s="126"/>
      <c r="G89" s="127"/>
      <c r="H89" s="128">
        <f>SUM(H85:H88)</f>
        <v>5297.150513891142</v>
      </c>
      <c r="K89" s="20"/>
      <c r="L89" s="8">
        <f>8/12</f>
        <v>0.6666666666666666</v>
      </c>
    </row>
    <row r="90" spans="1:12" ht="13.5" thickBot="1">
      <c r="A90" s="4"/>
      <c r="B90" s="4"/>
      <c r="C90" s="4"/>
      <c r="D90" s="4"/>
      <c r="E90" s="4"/>
      <c r="F90" s="4"/>
      <c r="G90" s="4"/>
      <c r="H90" s="6">
        <f>SUM(H86:H88)</f>
        <v>335.09737272896416</v>
      </c>
      <c r="L90" s="8">
        <f>+L89*7</f>
        <v>4.666666666666666</v>
      </c>
    </row>
    <row r="91" spans="1:11" ht="15.75" customHeight="1">
      <c r="A91" s="129" t="s">
        <v>3</v>
      </c>
      <c r="B91" s="130"/>
      <c r="C91" s="131">
        <v>0</v>
      </c>
      <c r="D91" s="132">
        <f>(C91/H85)</f>
        <v>0</v>
      </c>
      <c r="E91" s="133" t="s">
        <v>2</v>
      </c>
      <c r="F91" s="130"/>
      <c r="G91" s="131">
        <f>SUM(H45:H81)+H37</f>
        <v>3208</v>
      </c>
      <c r="H91" s="134">
        <f>(G91/H85)</f>
        <v>0.6465065787765113</v>
      </c>
      <c r="J91" s="123"/>
      <c r="K91" s="20"/>
    </row>
    <row r="92" spans="1:8" ht="15.75" customHeight="1">
      <c r="A92" s="135" t="s">
        <v>1</v>
      </c>
      <c r="B92" s="136"/>
      <c r="C92" s="137">
        <f>SUM(H40:H43)</f>
        <v>870</v>
      </c>
      <c r="D92" s="138">
        <f>ROUND((C92/H85),7)</f>
        <v>0.1753306</v>
      </c>
      <c r="E92" s="139" t="s">
        <v>0</v>
      </c>
      <c r="F92" s="136"/>
      <c r="G92" s="137">
        <f>SUM(H24:H35)</f>
        <v>884.0531411621768</v>
      </c>
      <c r="H92" s="140">
        <f>(G92/H85)</f>
        <v>0.17816277174232764</v>
      </c>
    </row>
    <row r="93" spans="1:9" ht="5.25" customHeight="1" thickBot="1">
      <c r="A93" s="141"/>
      <c r="B93" s="142"/>
      <c r="C93" s="143"/>
      <c r="D93" s="143"/>
      <c r="E93" s="126"/>
      <c r="F93" s="142"/>
      <c r="G93" s="143"/>
      <c r="H93" s="144"/>
      <c r="I93" s="8"/>
    </row>
    <row r="94" spans="1:10" ht="11.25" customHeight="1">
      <c r="A94" s="9" t="s">
        <v>111</v>
      </c>
      <c r="B94" s="9"/>
      <c r="C94" s="10"/>
      <c r="D94" s="11"/>
      <c r="E94" s="12"/>
      <c r="F94" s="9"/>
      <c r="G94" s="13"/>
      <c r="H94" s="13"/>
      <c r="I94" s="14"/>
      <c r="J94" s="15"/>
    </row>
    <row r="95" spans="1:10" ht="38.25" customHeight="1">
      <c r="A95" s="177" t="s">
        <v>119</v>
      </c>
      <c r="B95" s="177"/>
      <c r="C95" s="177"/>
      <c r="D95" s="177"/>
      <c r="E95" s="177"/>
      <c r="F95" s="177"/>
      <c r="G95" s="177"/>
      <c r="H95" s="177"/>
      <c r="I95" s="177"/>
      <c r="J95" s="177"/>
    </row>
    <row r="96" spans="1:10" s="2" customFormat="1" ht="15.75" customHeight="1">
      <c r="A96" s="175" t="s">
        <v>110</v>
      </c>
      <c r="B96" s="175"/>
      <c r="C96" s="175"/>
      <c r="D96" s="175"/>
      <c r="E96" s="175"/>
      <c r="F96" s="175"/>
      <c r="G96" s="175"/>
      <c r="H96" s="175"/>
      <c r="I96" s="175"/>
      <c r="J96" s="175"/>
    </row>
    <row r="97" spans="1:10" s="2" customFormat="1" ht="18.75" customHeight="1">
      <c r="A97" s="176" t="s">
        <v>108</v>
      </c>
      <c r="B97" s="176"/>
      <c r="C97" s="176"/>
      <c r="D97" s="176"/>
      <c r="E97" s="176"/>
      <c r="F97" s="176"/>
      <c r="G97" s="176"/>
      <c r="H97" s="176"/>
      <c r="I97" s="176"/>
      <c r="J97" s="176"/>
    </row>
    <row r="98" spans="1:10" s="2" customFormat="1" ht="12.75" customHeight="1">
      <c r="A98" s="16" t="s">
        <v>109</v>
      </c>
      <c r="B98" s="16"/>
      <c r="C98" s="17"/>
      <c r="D98" s="18"/>
      <c r="E98" s="16"/>
      <c r="F98" s="16"/>
      <c r="G98" s="17"/>
      <c r="H98" s="18"/>
      <c r="I98" s="19"/>
      <c r="J98" s="16"/>
    </row>
    <row r="99" spans="1:10" s="2" customFormat="1" ht="13.5">
      <c r="A99" s="16" t="s">
        <v>113</v>
      </c>
      <c r="B99" s="16"/>
      <c r="C99" s="16"/>
      <c r="D99" s="16"/>
      <c r="E99" s="16"/>
      <c r="F99" s="16"/>
      <c r="G99" s="16"/>
      <c r="H99" s="16"/>
      <c r="I99" s="16"/>
      <c r="J99" s="16"/>
    </row>
    <row r="100" spans="1:10" s="2" customFormat="1" ht="13.5">
      <c r="A100" s="16" t="s">
        <v>112</v>
      </c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s="2" customFormat="1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12" spans="1:10" ht="12.75">
      <c r="A112" s="170" t="s">
        <v>116</v>
      </c>
      <c r="B112" s="170"/>
      <c r="C112" s="170"/>
      <c r="D112" s="170"/>
      <c r="E112" s="170"/>
      <c r="F112" s="170"/>
      <c r="G112" s="170"/>
      <c r="H112" s="170"/>
      <c r="I112" s="170"/>
      <c r="J112" s="170"/>
    </row>
  </sheetData>
  <sheetProtection/>
  <mergeCells count="10">
    <mergeCell ref="A1:J1"/>
    <mergeCell ref="A17:H17"/>
    <mergeCell ref="A52:J52"/>
    <mergeCell ref="A112:J112"/>
    <mergeCell ref="I17:I21"/>
    <mergeCell ref="J17:J21"/>
    <mergeCell ref="A84:J84"/>
    <mergeCell ref="A96:J96"/>
    <mergeCell ref="A97:J97"/>
    <mergeCell ref="A95:J95"/>
  </mergeCells>
  <printOptions/>
  <pageMargins left="0.9" right="0.2362204724409449" top="0.63" bottom="0.5905511811023623" header="0.28" footer="0"/>
  <pageSetup horizontalDpi="300" verticalDpi="300" orientation="portrait" scale="85" r:id="rId1"/>
  <rowBreaks count="2" manualBreakCount="2">
    <brk id="52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2017-04-11T17:42:19Z</cp:lastPrinted>
  <dcterms:created xsi:type="dcterms:W3CDTF">1999-01-26T18:48:56Z</dcterms:created>
  <dcterms:modified xsi:type="dcterms:W3CDTF">2019-08-29T22:16:19Z</dcterms:modified>
  <cp:category/>
  <cp:version/>
  <cp:contentType/>
  <cp:contentStatus/>
</cp:coreProperties>
</file>