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0"/>
  </bookViews>
  <sheets>
    <sheet name="Listo" sheetId="1" r:id="rId1"/>
  </sheets>
  <definedNames>
    <definedName name="_xlnm.Print_Area" localSheetId="0">'Listo'!$A$1:$J$140</definedName>
    <definedName name="_xlnm.Print_Titles" localSheetId="0">'Listo'!$1:$20</definedName>
  </definedNames>
  <calcPr fullCalcOnLoad="1"/>
</workbook>
</file>

<file path=xl/sharedStrings.xml><?xml version="1.0" encoding="utf-8"?>
<sst xmlns="http://schemas.openxmlformats.org/spreadsheetml/2006/main" count="218" uniqueCount="154">
  <si>
    <t>IV. Insumos      :</t>
  </si>
  <si>
    <t>II.Preparación de terreno:</t>
  </si>
  <si>
    <t>III. Mano de Obra:</t>
  </si>
  <si>
    <t>I. Semillero             :</t>
  </si>
  <si>
    <t>TOTAL</t>
  </si>
  <si>
    <t>GASTOS SEGURO AGRICOLA</t>
  </si>
  <si>
    <t>GASTOS ADMINISTRATIVOS</t>
  </si>
  <si>
    <t>SUBTOTAL</t>
  </si>
  <si>
    <t>Hom-Día</t>
  </si>
  <si>
    <t>XV</t>
  </si>
  <si>
    <t>XIV</t>
  </si>
  <si>
    <t>XIII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</si>
  <si>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</si>
  <si>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</si>
  <si>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</si>
  <si>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</si>
  <si>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</si>
  <si>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</si>
  <si>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</si>
  <si>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</si>
  <si>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</si>
  <si>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</si>
  <si>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</si>
  <si>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</si>
  <si>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>Tarea</t>
  </si>
  <si>
    <t>2.  Preparación del Terreno</t>
  </si>
  <si>
    <t>Quintal</t>
  </si>
  <si>
    <t>1.  Insumos</t>
  </si>
  <si>
    <t xml:space="preserve">  (RD$)</t>
  </si>
  <si>
    <t>/Unidad</t>
  </si>
  <si>
    <t xml:space="preserve"> Unidad</t>
  </si>
  <si>
    <t xml:space="preserve"> Mes</t>
  </si>
  <si>
    <t xml:space="preserve"> Actividad - Servicios o Insumos</t>
  </si>
  <si>
    <t xml:space="preserve">  Costo</t>
  </si>
  <si>
    <t xml:space="preserve"> Valor</t>
  </si>
  <si>
    <t>COSTOS VARIABLES DE PRODUCCION POR TAREA</t>
  </si>
  <si>
    <t>Fomento</t>
  </si>
  <si>
    <t xml:space="preserve"> CARAC. ESPECIAL</t>
  </si>
  <si>
    <t>A</t>
  </si>
  <si>
    <t xml:space="preserve"> CLASIF. TERRENO</t>
  </si>
  <si>
    <t>Mecanizado</t>
  </si>
  <si>
    <t xml:space="preserve"> PREP. TERRENO..</t>
  </si>
  <si>
    <t>Alto</t>
  </si>
  <si>
    <t xml:space="preserve"> NIVEL INSUMOS...</t>
  </si>
  <si>
    <t>JORNAL DIARIO :</t>
  </si>
  <si>
    <t>Riego Grav.</t>
  </si>
  <si>
    <t xml:space="preserve"> ORIGEN DE AGUAS</t>
  </si>
  <si>
    <t>8 Horas</t>
  </si>
  <si>
    <t>HOMBRE-DIA</t>
  </si>
  <si>
    <t>Directo</t>
  </si>
  <si>
    <t xml:space="preserve"> METODO SIEMBRA.</t>
  </si>
  <si>
    <t>Macho x Hembra</t>
  </si>
  <si>
    <t/>
  </si>
  <si>
    <t>RENDIMIENTO</t>
  </si>
  <si>
    <t>VARIEDAD</t>
  </si>
  <si>
    <t>0-60-0234A</t>
  </si>
  <si>
    <t>ENTREVISTAS...</t>
  </si>
  <si>
    <t>Nacional</t>
  </si>
  <si>
    <t>AREA APLIC....</t>
  </si>
  <si>
    <t>Plátano</t>
  </si>
  <si>
    <t>Unidad</t>
  </si>
  <si>
    <t>Costo/</t>
  </si>
  <si>
    <t>15 Meses</t>
  </si>
  <si>
    <t>RUBRO</t>
  </si>
  <si>
    <t>Cant.</t>
  </si>
  <si>
    <t>CICLO..........</t>
  </si>
  <si>
    <t>COSTO CODIGO...</t>
  </si>
  <si>
    <t>Millar</t>
  </si>
  <si>
    <t>Coeficiente Técnico por Actividad</t>
  </si>
  <si>
    <t xml:space="preserve"> Participación (%) por Actividad</t>
  </si>
  <si>
    <t>…………………………………………..</t>
  </si>
  <si>
    <t>FECHA  :</t>
  </si>
  <si>
    <t xml:space="preserve">    (0.1901 QQ 15-15-15)</t>
  </si>
  <si>
    <t>Litro</t>
  </si>
  <si>
    <t xml:space="preserve">    (0.0781 Lt. Gramoxone)</t>
  </si>
  <si>
    <t xml:space="preserve">    (0.0781 Lt Gramoxone)</t>
  </si>
  <si>
    <t xml:space="preserve"> MINISTERIO DE AGRICULTURA</t>
  </si>
  <si>
    <t>Estimado Estudios Económicos</t>
  </si>
  <si>
    <t>Las unidades de médida expresadas en los insumos corresponde a la forma en la que los productores  la obtienen de los puntos de venta o agroquímicas.</t>
  </si>
  <si>
    <t>Una Hectárea equivale a 15.9 tareas.</t>
  </si>
  <si>
    <t>El uso de una "MARCA DE FABRICA" no constituye una recomendación del producto, sino lo que informaron los productores.</t>
  </si>
  <si>
    <t xml:space="preserve">Notas:  </t>
  </si>
  <si>
    <t xml:space="preserve">               Estimados por la División de Estudios Económicos.-</t>
  </si>
  <si>
    <t>Fuente:  Ministerio de Agricultura, Departamento de Economía Agropecuaria.</t>
  </si>
  <si>
    <t>2. Fertilizante (Urea)</t>
  </si>
  <si>
    <t>3. Fertilizante (15-15-15)</t>
  </si>
  <si>
    <t>5. Herbicida (Gramoxone)</t>
  </si>
  <si>
    <t>Página 129</t>
  </si>
  <si>
    <t>Página 130</t>
  </si>
  <si>
    <t>Página 131</t>
  </si>
  <si>
    <t>Galones</t>
  </si>
  <si>
    <t xml:space="preserve">9. Combustible </t>
  </si>
  <si>
    <t>10.Transporte de Insumos</t>
  </si>
  <si>
    <t>11. Pago agua INDRHI (15 meses)</t>
  </si>
  <si>
    <t>6. Fungicida (Macozeb)</t>
  </si>
  <si>
    <t>4.  Nematicida</t>
  </si>
  <si>
    <t>1. Corte</t>
  </si>
  <si>
    <t>2. Cruce</t>
  </si>
  <si>
    <t>3. Subsolado</t>
  </si>
  <si>
    <t>4.Rastra</t>
  </si>
  <si>
    <t xml:space="preserve">5. Nivelación </t>
  </si>
  <si>
    <t>6. Mureo</t>
  </si>
  <si>
    <t>7.  Marcado de Hoyos</t>
  </si>
  <si>
    <t xml:space="preserve">3. Aplicación Fertilizante </t>
  </si>
  <si>
    <t xml:space="preserve">    (Urea + Formula Completa ) </t>
  </si>
  <si>
    <t>7. Insecticida</t>
  </si>
  <si>
    <t>8. Aceite  Agricola</t>
  </si>
  <si>
    <t xml:space="preserve">    (Formula Completa)</t>
  </si>
  <si>
    <t xml:space="preserve">    (0.1901 QQ 15-15-15 + 0.2786 QQ. Urea)</t>
  </si>
  <si>
    <t xml:space="preserve">2. Hechura de Hoyos y  Siembra </t>
  </si>
  <si>
    <t>4. Riego (2 aplicaciones)</t>
  </si>
  <si>
    <t>5. Resiembra</t>
  </si>
  <si>
    <t>6. Riego (2 Aplicaciones)</t>
  </si>
  <si>
    <t xml:space="preserve">7. Aplicación Fertilizante </t>
  </si>
  <si>
    <t>8. Aplicación Fungicida, Insecticida y Aceite</t>
  </si>
  <si>
    <t xml:space="preserve">9.  Aplicación Herbicida </t>
  </si>
  <si>
    <t>1. Desinfección de Cepas (con Nematicida)</t>
  </si>
  <si>
    <t>10. Riego (3 Aplicaciones)</t>
  </si>
  <si>
    <t xml:space="preserve">11. Aplicación Fertilizante </t>
  </si>
  <si>
    <t>12. Aplicación Fungicida, aceite</t>
  </si>
  <si>
    <t>13. Riego (3 Aplicaciones)</t>
  </si>
  <si>
    <t>14. Desyerbo (manual)</t>
  </si>
  <si>
    <t>15. Riego (3 Aplicaciones)</t>
  </si>
  <si>
    <t xml:space="preserve">16. Aplicación Fertilizantes (0.1901 QQ 15-15-15 + </t>
  </si>
  <si>
    <t>18. Aplicación Fungicida, insecticida y aceite</t>
  </si>
  <si>
    <t xml:space="preserve">19. Aplicación Fertilizantes </t>
  </si>
  <si>
    <t xml:space="preserve">21. Aplicación Herbicida </t>
  </si>
  <si>
    <t>0.2786  QQ Urea)</t>
  </si>
  <si>
    <t>23. Deshije y Deshoje (manual)</t>
  </si>
  <si>
    <t>30. Deshije y Deshoje (manual)</t>
  </si>
  <si>
    <t xml:space="preserve">24. Aplicación Fertilizantes </t>
  </si>
  <si>
    <t>37.  Riego (3 Aplicaciones)</t>
  </si>
  <si>
    <t>PAGO INTERESES 8.0% ANUAL (15 meses  10.0%)</t>
  </si>
  <si>
    <t>17. Riego (4 Aplicaciones)</t>
  </si>
  <si>
    <t>20. Riego (4 Aplicaciones)</t>
  </si>
  <si>
    <t>22.  Riego (4 Aplicaciones)</t>
  </si>
  <si>
    <t>26.  Riego (4 Aplicaciones)</t>
  </si>
  <si>
    <t xml:space="preserve">27. Aplicación Herbicida </t>
  </si>
  <si>
    <t>28.  Riego (4 Aplicaciones)</t>
  </si>
  <si>
    <t>31.  Riego (4 Aplicaciones)</t>
  </si>
  <si>
    <t>33. Deshije y Deshoje (manual)</t>
  </si>
  <si>
    <t>39.  Riego (3 Aplicaciones)</t>
  </si>
  <si>
    <t>34.  Riego (4 Aplicaciones)</t>
  </si>
  <si>
    <t>40. Cosecha y Acarreo Interno (Corte) 2 veces al mes</t>
  </si>
  <si>
    <t>38. Cosecha y Acarreo Interno (Corte) 2 veces al mes</t>
  </si>
  <si>
    <t>36. Cosecha y Acarreo Interno (Corte) 2 veces al mes</t>
  </si>
  <si>
    <t>32.  Cosecha y Acarreo Interno (Corte) 2 veces al mes</t>
  </si>
  <si>
    <t>29. Cosecha y Acarreo Interno (Corte) 2 veces al mes</t>
  </si>
  <si>
    <t>25. Aplicación Fungicida y aceite</t>
  </si>
  <si>
    <t>35. Aplicación Fungicida y aceite</t>
  </si>
  <si>
    <t>Página 132</t>
  </si>
  <si>
    <t>1. Semilla (Cepas)</t>
  </si>
  <si>
    <t>2019</t>
  </si>
  <si>
    <t>Los coeficientes utilizados en la estimación de los costos de producción fueron, actualizados en el levantamiento de campo realizado en el 2008 con el apoyo del PATCA. A partir del 2009, se han actualizado anualmente el precio de los insumos (pesticidas, agua y combustible), mano de obra,  actividades de preparación de  terreno y tasa de interés. Precios de  Insumos actualizados a mayo, 2019.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</si>
</sst>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_)"/>
    <numFmt numFmtId="187" formatCode="0.00_)"/>
    <numFmt numFmtId="188" formatCode="0_)"/>
    <numFmt numFmtId="189" formatCode="#,##0.0000_);\(#,##0.0000\)"/>
    <numFmt numFmtId="190" formatCode="_(* #,##0.000_);_(* \(#,##0.000\);_(* &quot;-&quot;??_);_(@_)"/>
    <numFmt numFmtId="191" formatCode="_(* #,##0.0000_);_(* \(#,##0.0000\);_(* &quot;-&quot;??_);_(@_)"/>
    <numFmt numFmtId="192" formatCode="_(* #,##0.0_);_(* \(#,##0.0\);_(* &quot;-&quot;??_);_(@_)"/>
    <numFmt numFmtId="193" formatCode="_(* #,##0_);_(* \(#,##0\);_(* &quot;-&quot;??_);_(@_)"/>
    <numFmt numFmtId="194" formatCode="#,##0.0_);\(#,##0.0\)"/>
    <numFmt numFmtId="195" formatCode="0.000000"/>
    <numFmt numFmtId="196" formatCode="0.0000000"/>
    <numFmt numFmtId="197" formatCode="0.00000"/>
    <numFmt numFmtId="198" formatCode="0.0000"/>
    <numFmt numFmtId="199" formatCode="0.000"/>
    <numFmt numFmtId="200" formatCode="#,##0.0\ _€;\-#,##0.0\ _€"/>
    <numFmt numFmtId="201" formatCode="&quot;RD$&quot;#,##0.00"/>
    <numFmt numFmtId="202" formatCode="_-* #,##0.00_-;\-* #,##0.00_-;_-* &quot;-&quot;??_-;_-@_-"/>
    <numFmt numFmtId="203" formatCode="_-* #,##0_-;\-* #,##0_-;_-* &quot;-&quot;??_-;_-@_-"/>
    <numFmt numFmtId="204" formatCode="#,##0.00_ ;\-#,##0.00\ "/>
    <numFmt numFmtId="205" formatCode="0.00000000000"/>
    <numFmt numFmtId="206" formatCode="_(* #,##0.0000_);_(* \(#,##0.0000\);_(* &quot;-&quot;????_);_(@_)"/>
  </numFmts>
  <fonts count="60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sz val="10"/>
      <name val="Baskerville Old Face"/>
      <family val="1"/>
    </font>
    <font>
      <sz val="9"/>
      <name val="Baskerville Old Face"/>
      <family val="1"/>
    </font>
    <font>
      <b/>
      <sz val="9"/>
      <name val="Baskerville Old Face"/>
      <family val="1"/>
    </font>
    <font>
      <b/>
      <sz val="10"/>
      <name val="Baskerville Old Face"/>
      <family val="1"/>
    </font>
    <font>
      <b/>
      <sz val="18"/>
      <name val="Arial Narrow"/>
      <family val="2"/>
    </font>
    <font>
      <sz val="9.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0"/>
      <color indexed="9"/>
      <name val="Baskerville Old Face"/>
      <family val="1"/>
    </font>
    <font>
      <sz val="10"/>
      <color indexed="10"/>
      <name val="Baskerville Old Face"/>
      <family val="1"/>
    </font>
    <font>
      <b/>
      <sz val="22"/>
      <color indexed="10"/>
      <name val="Baskerville Old Face"/>
      <family val="1"/>
    </font>
    <font>
      <b/>
      <sz val="10"/>
      <color indexed="10"/>
      <name val="Baskerville Old Face"/>
      <family val="1"/>
    </font>
    <font>
      <sz val="10"/>
      <color indexed="8"/>
      <name val="Baskerville Old Face"/>
      <family val="1"/>
    </font>
    <font>
      <b/>
      <sz val="10"/>
      <color indexed="8"/>
      <name val="Baskerville Old Fa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Baskerville Old Face"/>
      <family val="1"/>
    </font>
    <font>
      <sz val="10"/>
      <color rgb="FFFF0000"/>
      <name val="Baskerville Old Face"/>
      <family val="1"/>
    </font>
    <font>
      <b/>
      <sz val="22"/>
      <color rgb="FFFF0000"/>
      <name val="Baskerville Old Face"/>
      <family val="1"/>
    </font>
    <font>
      <b/>
      <sz val="10"/>
      <color rgb="FFFF0000"/>
      <name val="Baskerville Old Face"/>
      <family val="1"/>
    </font>
    <font>
      <sz val="10"/>
      <color theme="1"/>
      <name val="Baskerville Old Face"/>
      <family val="1"/>
    </font>
    <font>
      <b/>
      <sz val="10"/>
      <color theme="1"/>
      <name val="Baskerville Old Fac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F9B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1" fillId="0" borderId="0" xfId="57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0" borderId="0" xfId="57" applyFont="1" applyAlignment="1">
      <alignment horizontal="center"/>
    </xf>
    <xf numFmtId="0" fontId="3" fillId="0" borderId="0" xfId="0" applyFont="1" applyBorder="1" applyAlignment="1">
      <alignment/>
    </xf>
    <xf numFmtId="43" fontId="3" fillId="0" borderId="0" xfId="49" applyFont="1" applyAlignment="1">
      <alignment/>
    </xf>
    <xf numFmtId="191" fontId="3" fillId="0" borderId="0" xfId="0" applyNumberFormat="1" applyFont="1" applyAlignment="1">
      <alignment/>
    </xf>
    <xf numFmtId="191" fontId="3" fillId="0" borderId="0" xfId="49" applyNumberFormat="1" applyFont="1" applyAlignment="1">
      <alignment/>
    </xf>
    <xf numFmtId="20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198" fontId="3" fillId="0" borderId="0" xfId="0" applyNumberFormat="1" applyFont="1" applyAlignment="1">
      <alignment/>
    </xf>
    <xf numFmtId="43" fontId="3" fillId="0" borderId="0" xfId="49" applyFont="1" applyBorder="1" applyAlignment="1">
      <alignment/>
    </xf>
    <xf numFmtId="9" fontId="3" fillId="0" borderId="0" xfId="57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86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39" fontId="2" fillId="33" borderId="0" xfId="0" applyNumberFormat="1" applyFont="1" applyFill="1" applyBorder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1" fillId="33" borderId="0" xfId="0" applyFont="1" applyFill="1" applyAlignment="1">
      <alignment/>
    </xf>
    <xf numFmtId="9" fontId="1" fillId="33" borderId="0" xfId="57" applyFont="1" applyFill="1" applyAlignment="1">
      <alignment horizontal="center"/>
    </xf>
    <xf numFmtId="7" fontId="2" fillId="33" borderId="0" xfId="0" applyNumberFormat="1" applyFont="1" applyFill="1" applyAlignment="1" applyProtection="1">
      <alignment/>
      <protection/>
    </xf>
    <xf numFmtId="10" fontId="2" fillId="33" borderId="0" xfId="0" applyNumberFormat="1" applyFont="1" applyFill="1" applyAlignment="1" applyProtection="1">
      <alignment/>
      <protection/>
    </xf>
    <xf numFmtId="188" fontId="2" fillId="33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187" fontId="4" fillId="33" borderId="0" xfId="0" applyNumberFormat="1" applyFont="1" applyFill="1" applyAlignment="1" applyProtection="1">
      <alignment/>
      <protection/>
    </xf>
    <xf numFmtId="39" fontId="4" fillId="33" borderId="0" xfId="0" applyNumberFormat="1" applyFont="1" applyFill="1" applyAlignment="1" applyProtection="1">
      <alignment/>
      <protection/>
    </xf>
    <xf numFmtId="189" fontId="4" fillId="33" borderId="0" xfId="0" applyNumberFormat="1" applyFont="1" applyFill="1" applyAlignment="1" applyProtection="1">
      <alignment horizontal="left"/>
      <protection/>
    </xf>
    <xf numFmtId="39" fontId="4" fillId="33" borderId="0" xfId="0" applyNumberFormat="1" applyFont="1" applyFill="1" applyAlignment="1" applyProtection="1">
      <alignment horizontal="center"/>
      <protection/>
    </xf>
    <xf numFmtId="189" fontId="4" fillId="33" borderId="0" xfId="0" applyNumberFormat="1" applyFont="1" applyFill="1" applyAlignment="1" applyProtection="1">
      <alignment horizontal="center"/>
      <protection/>
    </xf>
    <xf numFmtId="193" fontId="4" fillId="33" borderId="0" xfId="49" applyNumberFormat="1" applyFont="1" applyFill="1" applyAlignment="1">
      <alignment horizontal="left"/>
    </xf>
    <xf numFmtId="188" fontId="4" fillId="33" borderId="0" xfId="0" applyNumberFormat="1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 horizontal="center"/>
      <protection/>
    </xf>
    <xf numFmtId="201" fontId="4" fillId="33" borderId="0" xfId="0" applyNumberFormat="1" applyFont="1" applyFill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 horizontal="fill"/>
      <protection/>
    </xf>
    <xf numFmtId="9" fontId="4" fillId="33" borderId="0" xfId="57" applyFont="1" applyFill="1" applyAlignment="1">
      <alignment horizontal="center"/>
    </xf>
    <xf numFmtId="0" fontId="6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/>
      <protection locked="0"/>
    </xf>
    <xf numFmtId="191" fontId="3" fillId="33" borderId="11" xfId="49" applyNumberFormat="1" applyFont="1" applyFill="1" applyBorder="1" applyAlignment="1" applyProtection="1">
      <alignment/>
      <protection/>
    </xf>
    <xf numFmtId="43" fontId="3" fillId="33" borderId="11" xfId="49" applyFont="1" applyFill="1" applyBorder="1" applyAlignment="1">
      <alignment/>
    </xf>
    <xf numFmtId="9" fontId="3" fillId="33" borderId="12" xfId="57" applyFont="1" applyFill="1" applyBorder="1" applyAlignment="1">
      <alignment horizontal="center"/>
    </xf>
    <xf numFmtId="43" fontId="28" fillId="33" borderId="0" xfId="49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43" fontId="3" fillId="33" borderId="13" xfId="49" applyFont="1" applyFill="1" applyBorder="1" applyAlignment="1">
      <alignment/>
    </xf>
    <xf numFmtId="9" fontId="3" fillId="33" borderId="14" xfId="57" applyFont="1" applyFill="1" applyBorder="1" applyAlignment="1">
      <alignment horizontal="center"/>
    </xf>
    <xf numFmtId="43" fontId="3" fillId="33" borderId="15" xfId="49" applyFont="1" applyFill="1" applyBorder="1" applyAlignment="1">
      <alignment/>
    </xf>
    <xf numFmtId="9" fontId="3" fillId="33" borderId="16" xfId="57" applyFont="1" applyFill="1" applyBorder="1" applyAlignment="1">
      <alignment horizontal="center"/>
    </xf>
    <xf numFmtId="0" fontId="3" fillId="33" borderId="17" xfId="0" applyFont="1" applyFill="1" applyBorder="1" applyAlignment="1" applyProtection="1">
      <alignment horizontal="fill"/>
      <protection/>
    </xf>
    <xf numFmtId="0" fontId="3" fillId="33" borderId="18" xfId="0" applyFont="1" applyFill="1" applyBorder="1" applyAlignment="1" applyProtection="1">
      <alignment horizontal="fill"/>
      <protection/>
    </xf>
    <xf numFmtId="0" fontId="3" fillId="33" borderId="13" xfId="0" applyFont="1" applyFill="1" applyBorder="1" applyAlignment="1" applyProtection="1">
      <alignment horizontal="fill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right"/>
    </xf>
    <xf numFmtId="203" fontId="8" fillId="33" borderId="0" xfId="52" applyNumberFormat="1" applyFont="1" applyFill="1" applyBorder="1" applyAlignment="1" applyProtection="1">
      <alignment horizontal="left"/>
      <protection/>
    </xf>
    <xf numFmtId="0" fontId="54" fillId="33" borderId="0" xfId="0" applyFont="1" applyFill="1" applyAlignment="1">
      <alignment/>
    </xf>
    <xf numFmtId="39" fontId="54" fillId="33" borderId="0" xfId="0" applyNumberFormat="1" applyFont="1" applyFill="1" applyAlignment="1">
      <alignment/>
    </xf>
    <xf numFmtId="0" fontId="6" fillId="33" borderId="19" xfId="0" applyFont="1" applyFill="1" applyBorder="1" applyAlignment="1" applyProtection="1">
      <alignment horizontal="left"/>
      <protection/>
    </xf>
    <xf numFmtId="186" fontId="3" fillId="33" borderId="15" xfId="0" applyNumberFormat="1" applyFont="1" applyFill="1" applyBorder="1" applyAlignment="1" applyProtection="1">
      <alignment/>
      <protection/>
    </xf>
    <xf numFmtId="39" fontId="3" fillId="33" borderId="15" xfId="0" applyNumberFormat="1" applyFont="1" applyFill="1" applyBorder="1" applyAlignment="1" applyProtection="1">
      <alignment/>
      <protection/>
    </xf>
    <xf numFmtId="39" fontId="3" fillId="33" borderId="2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86" fontId="3" fillId="33" borderId="11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39" fontId="3" fillId="33" borderId="11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187" fontId="3" fillId="33" borderId="0" xfId="0" applyNumberFormat="1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191" fontId="3" fillId="33" borderId="11" xfId="51" applyNumberFormat="1" applyFont="1" applyFill="1" applyBorder="1" applyAlignment="1">
      <alignment/>
    </xf>
    <xf numFmtId="7" fontId="3" fillId="33" borderId="0" xfId="0" applyNumberFormat="1" applyFont="1" applyFill="1" applyBorder="1" applyAlignment="1" applyProtection="1">
      <alignment/>
      <protection/>
    </xf>
    <xf numFmtId="0" fontId="3" fillId="33" borderId="18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4" fillId="0" borderId="0" xfId="0" applyFont="1" applyAlignment="1">
      <alignment/>
    </xf>
    <xf numFmtId="0" fontId="3" fillId="33" borderId="21" xfId="0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186" fontId="3" fillId="33" borderId="0" xfId="0" applyNumberFormat="1" applyFont="1" applyFill="1" applyBorder="1" applyAlignment="1" applyProtection="1">
      <alignment/>
      <protection/>
    </xf>
    <xf numFmtId="39" fontId="3" fillId="33" borderId="0" xfId="0" applyNumberFormat="1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/>
    </xf>
    <xf numFmtId="186" fontId="3" fillId="33" borderId="22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191" fontId="3" fillId="33" borderId="11" xfId="49" applyNumberFormat="1" applyFont="1" applyFill="1" applyBorder="1" applyAlignment="1">
      <alignment/>
    </xf>
    <xf numFmtId="43" fontId="3" fillId="33" borderId="11" xfId="49" applyFont="1" applyFill="1" applyBorder="1" applyAlignment="1" applyProtection="1">
      <alignment/>
      <protection/>
    </xf>
    <xf numFmtId="43" fontId="3" fillId="33" borderId="0" xfId="49" applyFont="1" applyFill="1" applyBorder="1" applyAlignment="1" applyProtection="1">
      <alignment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33" borderId="10" xfId="0" applyFont="1" applyFill="1" applyBorder="1" applyAlignment="1" applyProtection="1">
      <alignment horizontal="left"/>
      <protection/>
    </xf>
    <xf numFmtId="0" fontId="58" fillId="33" borderId="0" xfId="0" applyFont="1" applyFill="1" applyBorder="1" applyAlignment="1">
      <alignment/>
    </xf>
    <xf numFmtId="39" fontId="58" fillId="33" borderId="0" xfId="0" applyNumberFormat="1" applyFont="1" applyFill="1" applyBorder="1" applyAlignment="1" applyProtection="1">
      <alignment/>
      <protection/>
    </xf>
    <xf numFmtId="0" fontId="58" fillId="33" borderId="0" xfId="0" applyFont="1" applyFill="1" applyBorder="1" applyAlignment="1" applyProtection="1">
      <alignment horizontal="fill"/>
      <protection/>
    </xf>
    <xf numFmtId="0" fontId="58" fillId="33" borderId="0" xfId="0" applyFont="1" applyFill="1" applyBorder="1" applyAlignment="1" applyProtection="1">
      <alignment horizontal="center"/>
      <protection/>
    </xf>
    <xf numFmtId="9" fontId="58" fillId="33" borderId="0" xfId="57" applyFont="1" applyFill="1" applyBorder="1" applyAlignment="1">
      <alignment horizontal="center"/>
    </xf>
    <xf numFmtId="0" fontId="58" fillId="33" borderId="19" xfId="0" applyFont="1" applyFill="1" applyBorder="1" applyAlignment="1" applyProtection="1">
      <alignment horizontal="left"/>
      <protection/>
    </xf>
    <xf numFmtId="0" fontId="58" fillId="33" borderId="21" xfId="0" applyFont="1" applyFill="1" applyBorder="1" applyAlignment="1" applyProtection="1">
      <alignment horizontal="fill"/>
      <protection/>
    </xf>
    <xf numFmtId="187" fontId="58" fillId="33" borderId="21" xfId="0" applyNumberFormat="1" applyFont="1" applyFill="1" applyBorder="1" applyAlignment="1" applyProtection="1">
      <alignment horizontal="fill"/>
      <protection/>
    </xf>
    <xf numFmtId="0" fontId="58" fillId="33" borderId="21" xfId="0" applyFont="1" applyFill="1" applyBorder="1" applyAlignment="1">
      <alignment/>
    </xf>
    <xf numFmtId="186" fontId="58" fillId="33" borderId="21" xfId="0" applyNumberFormat="1" applyFont="1" applyFill="1" applyBorder="1" applyAlignment="1" applyProtection="1">
      <alignment/>
      <protection/>
    </xf>
    <xf numFmtId="39" fontId="58" fillId="33" borderId="21" xfId="0" applyNumberFormat="1" applyFont="1" applyFill="1" applyBorder="1" applyAlignment="1" applyProtection="1">
      <alignment/>
      <protection/>
    </xf>
    <xf numFmtId="39" fontId="59" fillId="33" borderId="16" xfId="0" applyNumberFormat="1" applyFont="1" applyFill="1" applyBorder="1" applyAlignment="1" applyProtection="1">
      <alignment/>
      <protection/>
    </xf>
    <xf numFmtId="187" fontId="58" fillId="33" borderId="12" xfId="0" applyNumberFormat="1" applyFont="1" applyFill="1" applyBorder="1" applyAlignment="1" applyProtection="1">
      <alignment/>
      <protection/>
    </xf>
    <xf numFmtId="39" fontId="58" fillId="33" borderId="12" xfId="0" applyNumberFormat="1" applyFont="1" applyFill="1" applyBorder="1" applyAlignment="1" applyProtection="1">
      <alignment/>
      <protection/>
    </xf>
    <xf numFmtId="0" fontId="58" fillId="0" borderId="23" xfId="0" applyFont="1" applyBorder="1" applyAlignment="1" applyProtection="1">
      <alignment horizontal="fill"/>
      <protection/>
    </xf>
    <xf numFmtId="0" fontId="58" fillId="0" borderId="24" xfId="0" applyFont="1" applyBorder="1" applyAlignment="1" applyProtection="1">
      <alignment horizontal="fill"/>
      <protection/>
    </xf>
    <xf numFmtId="187" fontId="58" fillId="0" borderId="25" xfId="0" applyNumberFormat="1" applyFont="1" applyBorder="1" applyAlignment="1" applyProtection="1">
      <alignment horizontal="fill"/>
      <protection/>
    </xf>
    <xf numFmtId="0" fontId="54" fillId="0" borderId="0" xfId="0" applyFont="1" applyBorder="1" applyAlignment="1">
      <alignment/>
    </xf>
    <xf numFmtId="9" fontId="54" fillId="33" borderId="0" xfId="57" applyFont="1" applyFill="1" applyAlignment="1">
      <alignment horizontal="center"/>
    </xf>
    <xf numFmtId="7" fontId="54" fillId="0" borderId="0" xfId="0" applyNumberFormat="1" applyFont="1" applyBorder="1" applyAlignment="1">
      <alignment/>
    </xf>
    <xf numFmtId="43" fontId="3" fillId="33" borderId="11" xfId="51" applyFont="1" applyFill="1" applyBorder="1" applyAlignment="1" applyProtection="1">
      <alignment/>
      <protection/>
    </xf>
    <xf numFmtId="9" fontId="3" fillId="33" borderId="26" xfId="57" applyFont="1" applyFill="1" applyBorder="1" applyAlignment="1">
      <alignment horizontal="center"/>
    </xf>
    <xf numFmtId="0" fontId="2" fillId="33" borderId="0" xfId="0" applyFont="1" applyFill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3" fillId="33" borderId="17" xfId="0" applyFont="1" applyFill="1" applyBorder="1" applyAlignment="1" applyProtection="1">
      <alignment horizontal="left"/>
      <protection/>
    </xf>
    <xf numFmtId="186" fontId="3" fillId="33" borderId="13" xfId="0" applyNumberFormat="1" applyFont="1" applyFill="1" applyBorder="1" applyAlignment="1" applyProtection="1">
      <alignment/>
      <protection/>
    </xf>
    <xf numFmtId="39" fontId="3" fillId="33" borderId="13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center"/>
    </xf>
    <xf numFmtId="43" fontId="3" fillId="33" borderId="0" xfId="49" applyFont="1" applyFill="1" applyBorder="1" applyAlignment="1">
      <alignment/>
    </xf>
    <xf numFmtId="9" fontId="3" fillId="33" borderId="0" xfId="57" applyFont="1" applyFill="1" applyBorder="1" applyAlignment="1">
      <alignment horizontal="center"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center"/>
      <protection/>
    </xf>
    <xf numFmtId="186" fontId="3" fillId="33" borderId="27" xfId="0" applyNumberFormat="1" applyFont="1" applyFill="1" applyBorder="1" applyAlignment="1" applyProtection="1">
      <alignment/>
      <protection/>
    </xf>
    <xf numFmtId="7" fontId="58" fillId="33" borderId="0" xfId="0" applyNumberFormat="1" applyFont="1" applyFill="1" applyBorder="1" applyAlignment="1" applyProtection="1">
      <alignment/>
      <protection/>
    </xf>
    <xf numFmtId="0" fontId="58" fillId="33" borderId="11" xfId="0" applyFont="1" applyFill="1" applyBorder="1" applyAlignment="1">
      <alignment/>
    </xf>
    <xf numFmtId="186" fontId="58" fillId="33" borderId="11" xfId="0" applyNumberFormat="1" applyFont="1" applyFill="1" applyBorder="1" applyAlignment="1" applyProtection="1">
      <alignment/>
      <protection/>
    </xf>
    <xf numFmtId="0" fontId="58" fillId="33" borderId="11" xfId="0" applyFont="1" applyFill="1" applyBorder="1" applyAlignment="1" applyProtection="1">
      <alignment horizontal="center"/>
      <protection/>
    </xf>
    <xf numFmtId="39" fontId="58" fillId="33" borderId="11" xfId="0" applyNumberFormat="1" applyFont="1" applyFill="1" applyBorder="1" applyAlignment="1" applyProtection="1">
      <alignment/>
      <protection/>
    </xf>
    <xf numFmtId="43" fontId="58" fillId="33" borderId="11" xfId="49" applyFont="1" applyFill="1" applyBorder="1" applyAlignment="1">
      <alignment/>
    </xf>
    <xf numFmtId="9" fontId="58" fillId="33" borderId="12" xfId="57" applyFont="1" applyFill="1" applyBorder="1" applyAlignment="1">
      <alignment horizontal="center"/>
    </xf>
    <xf numFmtId="0" fontId="55" fillId="0" borderId="0" xfId="0" applyFont="1" applyBorder="1" applyAlignment="1">
      <alignment/>
    </xf>
    <xf numFmtId="205" fontId="54" fillId="0" borderId="0" xfId="0" applyNumberFormat="1" applyFont="1" applyBorder="1" applyAlignment="1">
      <alignment/>
    </xf>
    <xf numFmtId="9" fontId="3" fillId="33" borderId="0" xfId="57" applyFont="1" applyFill="1" applyAlignment="1">
      <alignment horizontal="center"/>
    </xf>
    <xf numFmtId="43" fontId="3" fillId="33" borderId="0" xfId="49" applyFont="1" applyFill="1" applyAlignment="1">
      <alignment horizontal="center"/>
    </xf>
    <xf numFmtId="0" fontId="7" fillId="34" borderId="0" xfId="0" applyFont="1" applyFill="1" applyAlignment="1" applyProtection="1">
      <alignment horizontal="center" vertical="center"/>
      <protection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" fillId="34" borderId="31" xfId="0" applyFont="1" applyFill="1" applyBorder="1" applyAlignment="1">
      <alignment horizontal="center"/>
    </xf>
    <xf numFmtId="0" fontId="6" fillId="34" borderId="31" xfId="0" applyFont="1" applyFill="1" applyBorder="1" applyAlignment="1" applyProtection="1">
      <alignment horizontal="center"/>
      <protection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58" fillId="34" borderId="17" xfId="0" applyFont="1" applyFill="1" applyBorder="1" applyAlignment="1" applyProtection="1">
      <alignment horizontal="left"/>
      <protection/>
    </xf>
    <xf numFmtId="0" fontId="58" fillId="34" borderId="18" xfId="0" applyFont="1" applyFill="1" applyBorder="1" applyAlignment="1" applyProtection="1">
      <alignment horizontal="fill"/>
      <protection/>
    </xf>
    <xf numFmtId="39" fontId="58" fillId="34" borderId="18" xfId="0" applyNumberFormat="1" applyFont="1" applyFill="1" applyBorder="1" applyAlignment="1" applyProtection="1">
      <alignment/>
      <protection/>
    </xf>
    <xf numFmtId="39" fontId="59" fillId="34" borderId="14" xfId="0" applyNumberFormat="1" applyFont="1" applyFill="1" applyBorder="1" applyAlignment="1" applyProtection="1">
      <alignment/>
      <protection/>
    </xf>
    <xf numFmtId="0" fontId="58" fillId="34" borderId="32" xfId="0" applyFont="1" applyFill="1" applyBorder="1" applyAlignment="1" applyProtection="1">
      <alignment horizontal="left"/>
      <protection/>
    </xf>
    <xf numFmtId="0" fontId="58" fillId="34" borderId="30" xfId="0" applyFont="1" applyFill="1" applyBorder="1" applyAlignment="1">
      <alignment/>
    </xf>
    <xf numFmtId="7" fontId="58" fillId="34" borderId="30" xfId="0" applyNumberFormat="1" applyFont="1" applyFill="1" applyBorder="1" applyAlignment="1" applyProtection="1">
      <alignment/>
      <protection/>
    </xf>
    <xf numFmtId="10" fontId="58" fillId="34" borderId="31" xfId="0" applyNumberFormat="1" applyFont="1" applyFill="1" applyBorder="1" applyAlignment="1" applyProtection="1">
      <alignment/>
      <protection/>
    </xf>
    <xf numFmtId="0" fontId="58" fillId="34" borderId="29" xfId="0" applyFont="1" applyFill="1" applyBorder="1" applyAlignment="1" applyProtection="1">
      <alignment horizontal="left"/>
      <protection/>
    </xf>
    <xf numFmtId="10" fontId="58" fillId="34" borderId="30" xfId="0" applyNumberFormat="1" applyFont="1" applyFill="1" applyBorder="1" applyAlignment="1" applyProtection="1">
      <alignment/>
      <protection/>
    </xf>
    <xf numFmtId="0" fontId="58" fillId="34" borderId="33" xfId="0" applyFont="1" applyFill="1" applyBorder="1" applyAlignment="1" applyProtection="1">
      <alignment horizontal="left"/>
      <protection/>
    </xf>
    <xf numFmtId="0" fontId="58" fillId="34" borderId="22" xfId="0" applyFont="1" applyFill="1" applyBorder="1" applyAlignment="1">
      <alignment/>
    </xf>
    <xf numFmtId="7" fontId="58" fillId="34" borderId="22" xfId="0" applyNumberFormat="1" applyFont="1" applyFill="1" applyBorder="1" applyAlignment="1" applyProtection="1">
      <alignment/>
      <protection/>
    </xf>
    <xf numFmtId="10" fontId="58" fillId="34" borderId="11" xfId="0" applyNumberFormat="1" applyFont="1" applyFill="1" applyBorder="1" applyAlignment="1" applyProtection="1">
      <alignment/>
      <protection/>
    </xf>
    <xf numFmtId="0" fontId="58" fillId="34" borderId="0" xfId="0" applyFont="1" applyFill="1" applyBorder="1" applyAlignment="1" applyProtection="1">
      <alignment horizontal="left"/>
      <protection/>
    </xf>
    <xf numFmtId="10" fontId="58" fillId="34" borderId="22" xfId="0" applyNumberFormat="1" applyFont="1" applyFill="1" applyBorder="1" applyAlignment="1" applyProtection="1">
      <alignment/>
      <protection/>
    </xf>
    <xf numFmtId="0" fontId="3" fillId="34" borderId="23" xfId="0" applyFont="1" applyFill="1" applyBorder="1" applyAlignment="1" applyProtection="1">
      <alignment horizontal="fill"/>
      <protection/>
    </xf>
    <xf numFmtId="0" fontId="3" fillId="34" borderId="25" xfId="0" applyFont="1" applyFill="1" applyBorder="1" applyAlignment="1" applyProtection="1">
      <alignment horizontal="fill"/>
      <protection/>
    </xf>
    <xf numFmtId="0" fontId="3" fillId="34" borderId="34" xfId="0" applyFont="1" applyFill="1" applyBorder="1" applyAlignment="1" applyProtection="1">
      <alignment horizontal="fill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center"/>
      <protection/>
    </xf>
    <xf numFmtId="0" fontId="6" fillId="34" borderId="27" xfId="0" applyFont="1" applyFill="1" applyBorder="1" applyAlignment="1" applyProtection="1">
      <alignment horizontal="center"/>
      <protection/>
    </xf>
    <xf numFmtId="0" fontId="6" fillId="34" borderId="35" xfId="0" applyFont="1" applyFill="1" applyBorder="1" applyAlignment="1">
      <alignment horizontal="center" vertical="justify"/>
    </xf>
    <xf numFmtId="0" fontId="6" fillId="34" borderId="33" xfId="0" applyFont="1" applyFill="1" applyBorder="1" applyAlignment="1">
      <alignment horizontal="center" vertical="justify"/>
    </xf>
    <xf numFmtId="9" fontId="6" fillId="34" borderId="20" xfId="57" applyFont="1" applyFill="1" applyBorder="1" applyAlignment="1">
      <alignment horizontal="center" vertical="justify"/>
    </xf>
    <xf numFmtId="9" fontId="6" fillId="34" borderId="26" xfId="57" applyFont="1" applyFill="1" applyBorder="1" applyAlignment="1">
      <alignment horizontal="center" vertical="justify"/>
    </xf>
    <xf numFmtId="0" fontId="3" fillId="0" borderId="1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wrapText="1"/>
      <protection/>
    </xf>
    <xf numFmtId="0" fontId="3" fillId="33" borderId="22" xfId="0" applyFont="1" applyFill="1" applyBorder="1" applyAlignment="1" applyProtection="1">
      <alignment horizontal="left" wrapText="1"/>
      <protection/>
    </xf>
    <xf numFmtId="0" fontId="58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Porcentaje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N140"/>
  <sheetViews>
    <sheetView tabSelected="1" zoomScalePageLayoutView="0" workbookViewId="0" topLeftCell="A109">
      <selection activeCell="L127" sqref="L127"/>
    </sheetView>
  </sheetViews>
  <sheetFormatPr defaultColWidth="11.140625" defaultRowHeight="12.75"/>
  <cols>
    <col min="1" max="1" width="15.00390625" style="1" customWidth="1"/>
    <col min="2" max="2" width="13.7109375" style="1" customWidth="1"/>
    <col min="3" max="3" width="8.8515625" style="1" customWidth="1"/>
    <col min="4" max="4" width="7.8515625" style="1" customWidth="1"/>
    <col min="5" max="5" width="9.28125" style="1" customWidth="1"/>
    <col min="6" max="6" width="8.28125" style="1" customWidth="1"/>
    <col min="7" max="7" width="9.8515625" style="1" customWidth="1"/>
    <col min="8" max="8" width="9.7109375" style="1" customWidth="1"/>
    <col min="9" max="9" width="11.00390625" style="1" customWidth="1"/>
    <col min="10" max="10" width="12.421875" style="3" customWidth="1"/>
    <col min="11" max="11" width="15.57421875" style="1" customWidth="1"/>
    <col min="12" max="28" width="11.140625" style="1" customWidth="1"/>
    <col min="29" max="29" width="12.28125" style="1" customWidth="1"/>
    <col min="30" max="16384" width="11.140625" style="1" customWidth="1"/>
  </cols>
  <sheetData>
    <row r="1" spans="1:10" ht="37.5" customHeight="1">
      <c r="A1" s="174" t="s">
        <v>76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0" ht="3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</row>
    <row r="3" spans="1:10" ht="13.5">
      <c r="A3" s="119"/>
      <c r="B3" s="119"/>
      <c r="C3" s="17"/>
      <c r="D3" s="17"/>
      <c r="E3" s="17"/>
      <c r="F3" s="119"/>
      <c r="G3" s="17"/>
      <c r="H3" s="119"/>
      <c r="I3" s="22"/>
      <c r="J3" s="23"/>
    </row>
    <row r="4" spans="1:10" s="5" customFormat="1" ht="12">
      <c r="A4" s="28" t="s">
        <v>58</v>
      </c>
      <c r="B4" s="28" t="s">
        <v>57</v>
      </c>
      <c r="C4" s="29"/>
      <c r="D4" s="29"/>
      <c r="E4" s="29"/>
      <c r="F4" s="28" t="s">
        <v>63</v>
      </c>
      <c r="G4" s="29"/>
      <c r="H4" s="29" t="s">
        <v>70</v>
      </c>
      <c r="I4" s="29"/>
      <c r="J4" s="30" t="s">
        <v>59</v>
      </c>
    </row>
    <row r="5" spans="1:10" s="5" customFormat="1" ht="12">
      <c r="A5" s="28" t="s">
        <v>56</v>
      </c>
      <c r="B5" s="28" t="s">
        <v>77</v>
      </c>
      <c r="C5" s="29"/>
      <c r="D5" s="29"/>
      <c r="E5" s="29"/>
      <c r="F5" s="31" t="s">
        <v>65</v>
      </c>
      <c r="G5" s="29"/>
      <c r="H5" s="29" t="s">
        <v>70</v>
      </c>
      <c r="I5" s="29"/>
      <c r="J5" s="32" t="s">
        <v>62</v>
      </c>
    </row>
    <row r="6" spans="1:10" s="5" customFormat="1" ht="12">
      <c r="A6" s="29"/>
      <c r="B6" s="29"/>
      <c r="C6" s="29"/>
      <c r="D6" s="33"/>
      <c r="E6" s="29"/>
      <c r="F6" s="31" t="s">
        <v>66</v>
      </c>
      <c r="G6" s="29"/>
      <c r="H6" s="29" t="s">
        <v>70</v>
      </c>
      <c r="I6" s="29"/>
      <c r="J6" s="28" t="s">
        <v>55</v>
      </c>
    </row>
    <row r="7" spans="1:10" s="5" customFormat="1" ht="12">
      <c r="A7" s="29"/>
      <c r="B7" s="29"/>
      <c r="C7" s="29"/>
      <c r="D7" s="33" t="s">
        <v>61</v>
      </c>
      <c r="E7" s="29"/>
      <c r="F7" s="28"/>
      <c r="G7" s="29"/>
      <c r="H7" s="29"/>
      <c r="I7" s="29"/>
      <c r="J7" s="28" t="s">
        <v>52</v>
      </c>
    </row>
    <row r="8" spans="1:10" s="5" customFormat="1" ht="12">
      <c r="A8" s="28" t="s">
        <v>54</v>
      </c>
      <c r="B8" s="33" t="s">
        <v>53</v>
      </c>
      <c r="C8" s="33" t="s">
        <v>60</v>
      </c>
      <c r="D8" s="33" t="s">
        <v>60</v>
      </c>
      <c r="E8" s="29"/>
      <c r="F8" s="28" t="s">
        <v>50</v>
      </c>
      <c r="G8" s="29"/>
      <c r="H8" s="29" t="s">
        <v>70</v>
      </c>
      <c r="I8" s="29"/>
      <c r="J8" s="28" t="s">
        <v>49</v>
      </c>
    </row>
    <row r="9" spans="1:10" s="5" customFormat="1" ht="12">
      <c r="A9" s="29"/>
      <c r="B9" s="34"/>
      <c r="C9" s="29"/>
      <c r="D9" s="35"/>
      <c r="E9" s="29"/>
      <c r="F9" s="28" t="s">
        <v>46</v>
      </c>
      <c r="G9" s="29"/>
      <c r="H9" s="29" t="s">
        <v>70</v>
      </c>
      <c r="I9" s="29"/>
      <c r="J9" s="28" t="s">
        <v>45</v>
      </c>
    </row>
    <row r="10" spans="1:10" s="5" customFormat="1" ht="12">
      <c r="A10" s="36" t="s">
        <v>51</v>
      </c>
      <c r="B10" s="37">
        <v>3.5</v>
      </c>
      <c r="C10" s="38" t="s">
        <v>67</v>
      </c>
      <c r="D10" s="39">
        <f>(H122/B10)</f>
        <v>3729.2505141647757</v>
      </c>
      <c r="E10" s="29"/>
      <c r="F10" s="28" t="s">
        <v>43</v>
      </c>
      <c r="G10" s="29"/>
      <c r="H10" s="29" t="s">
        <v>70</v>
      </c>
      <c r="I10" s="29"/>
      <c r="J10" s="28" t="s">
        <v>42</v>
      </c>
    </row>
    <row r="11" spans="1:10" s="5" customFormat="1" ht="12">
      <c r="A11" s="29"/>
      <c r="B11" s="29"/>
      <c r="C11" s="29"/>
      <c r="D11" s="29"/>
      <c r="E11" s="29"/>
      <c r="F11" s="28" t="s">
        <v>41</v>
      </c>
      <c r="G11" s="29"/>
      <c r="H11" s="29" t="s">
        <v>70</v>
      </c>
      <c r="I11" s="29"/>
      <c r="J11" s="28" t="s">
        <v>40</v>
      </c>
    </row>
    <row r="12" spans="1:10" s="5" customFormat="1" ht="12.75">
      <c r="A12" s="29"/>
      <c r="B12" s="29"/>
      <c r="C12" s="60"/>
      <c r="D12" s="61"/>
      <c r="E12" s="29"/>
      <c r="F12" s="28" t="s">
        <v>39</v>
      </c>
      <c r="G12" s="29"/>
      <c r="H12" s="29" t="s">
        <v>70</v>
      </c>
      <c r="I12" s="29"/>
      <c r="J12" s="28" t="s">
        <v>38</v>
      </c>
    </row>
    <row r="13" spans="1:10" s="5" customFormat="1" ht="12">
      <c r="A13" s="29"/>
      <c r="B13" s="29"/>
      <c r="C13" s="29"/>
      <c r="D13" s="29"/>
      <c r="E13" s="29"/>
      <c r="F13" s="28" t="s">
        <v>37</v>
      </c>
      <c r="G13" s="29"/>
      <c r="H13" s="29" t="s">
        <v>70</v>
      </c>
      <c r="I13" s="29"/>
      <c r="J13" s="28" t="s">
        <v>36</v>
      </c>
    </row>
    <row r="14" spans="1:10" s="5" customFormat="1" ht="15.75" customHeight="1">
      <c r="A14" s="28" t="s">
        <v>48</v>
      </c>
      <c r="B14" s="40" t="s">
        <v>47</v>
      </c>
      <c r="C14" s="30" t="s">
        <v>71</v>
      </c>
      <c r="D14" s="41" t="s">
        <v>152</v>
      </c>
      <c r="E14" s="29"/>
      <c r="F14" s="28"/>
      <c r="G14" s="29"/>
      <c r="H14" s="29"/>
      <c r="I14" s="29"/>
      <c r="J14" s="28"/>
    </row>
    <row r="15" spans="1:10" s="5" customFormat="1" ht="12">
      <c r="A15" s="28" t="s">
        <v>44</v>
      </c>
      <c r="B15" s="42">
        <v>500</v>
      </c>
      <c r="C15" s="29"/>
      <c r="D15" s="29"/>
      <c r="E15" s="43"/>
      <c r="F15" s="43"/>
      <c r="G15" s="43"/>
      <c r="H15" s="43"/>
      <c r="I15" s="29"/>
      <c r="J15" s="44"/>
    </row>
    <row r="16" spans="1:10" s="5" customFormat="1" ht="4.5" customHeight="1" thickBot="1">
      <c r="A16" s="28"/>
      <c r="B16" s="42"/>
      <c r="C16" s="29"/>
      <c r="D16" s="29"/>
      <c r="E16" s="43"/>
      <c r="F16" s="43"/>
      <c r="G16" s="43"/>
      <c r="H16" s="43"/>
      <c r="I16" s="29"/>
      <c r="J16" s="44"/>
    </row>
    <row r="17" spans="1:10" s="4" customFormat="1" ht="18" customHeight="1">
      <c r="A17" s="175" t="s">
        <v>35</v>
      </c>
      <c r="B17" s="176"/>
      <c r="C17" s="176"/>
      <c r="D17" s="176"/>
      <c r="E17" s="176"/>
      <c r="F17" s="176"/>
      <c r="G17" s="176"/>
      <c r="H17" s="177"/>
      <c r="I17" s="178" t="s">
        <v>68</v>
      </c>
      <c r="J17" s="180" t="s">
        <v>69</v>
      </c>
    </row>
    <row r="18" spans="1:10" s="4" customFormat="1" ht="12.75">
      <c r="A18" s="142"/>
      <c r="B18" s="143"/>
      <c r="C18" s="144"/>
      <c r="D18" s="145"/>
      <c r="E18" s="145"/>
      <c r="F18" s="145"/>
      <c r="G18" s="146" t="s">
        <v>34</v>
      </c>
      <c r="H18" s="146" t="s">
        <v>33</v>
      </c>
      <c r="I18" s="179"/>
      <c r="J18" s="181"/>
    </row>
    <row r="19" spans="1:10" s="4" customFormat="1" ht="12.75">
      <c r="A19" s="147" t="s">
        <v>32</v>
      </c>
      <c r="B19" s="148"/>
      <c r="C19" s="149"/>
      <c r="D19" s="150" t="s">
        <v>31</v>
      </c>
      <c r="E19" s="150" t="s">
        <v>64</v>
      </c>
      <c r="F19" s="150" t="s">
        <v>30</v>
      </c>
      <c r="G19" s="150" t="s">
        <v>29</v>
      </c>
      <c r="H19" s="150" t="s">
        <v>28</v>
      </c>
      <c r="I19" s="179"/>
      <c r="J19" s="181"/>
    </row>
    <row r="20" spans="1:10" s="4" customFormat="1" ht="9.75" customHeight="1" thickBot="1">
      <c r="A20" s="151"/>
      <c r="B20" s="152"/>
      <c r="C20" s="153"/>
      <c r="D20" s="154"/>
      <c r="E20" s="154"/>
      <c r="F20" s="154"/>
      <c r="G20" s="154"/>
      <c r="H20" s="154"/>
      <c r="I20" s="179"/>
      <c r="J20" s="181"/>
    </row>
    <row r="21" spans="1:10" s="4" customFormat="1" ht="12.75">
      <c r="A21" s="64" t="s">
        <v>27</v>
      </c>
      <c r="B21" s="82"/>
      <c r="C21" s="82"/>
      <c r="D21" s="86"/>
      <c r="E21" s="65"/>
      <c r="F21" s="83"/>
      <c r="G21" s="66"/>
      <c r="H21" s="66"/>
      <c r="I21" s="66"/>
      <c r="J21" s="67"/>
    </row>
    <row r="22" spans="1:16" s="4" customFormat="1" ht="12.75">
      <c r="A22" s="74" t="s">
        <v>151</v>
      </c>
      <c r="B22" s="69"/>
      <c r="C22" s="75"/>
      <c r="D22" s="46"/>
      <c r="E22" s="47">
        <f>7.15/55</f>
        <v>0.13</v>
      </c>
      <c r="F22" s="76" t="s">
        <v>67</v>
      </c>
      <c r="G22" s="73">
        <v>4000</v>
      </c>
      <c r="H22" s="73">
        <f>IF(E22*G22,+E22*G22,"        ")</f>
        <v>520</v>
      </c>
      <c r="I22" s="48">
        <f>E22/B$10</f>
        <v>0.037142857142857144</v>
      </c>
      <c r="J22" s="49">
        <f aca="true" t="shared" si="0" ref="J22:J31">H22/H$122</f>
        <v>0.0398394873198009</v>
      </c>
      <c r="O22" s="8"/>
      <c r="P22" s="9"/>
    </row>
    <row r="23" spans="1:13" s="4" customFormat="1" ht="12.75">
      <c r="A23" s="74" t="s">
        <v>84</v>
      </c>
      <c r="B23" s="69"/>
      <c r="C23" s="75"/>
      <c r="D23" s="46"/>
      <c r="E23" s="47">
        <f>9.75/35</f>
        <v>0.2785714285714286</v>
      </c>
      <c r="F23" s="76" t="s">
        <v>26</v>
      </c>
      <c r="G23" s="73">
        <v>1246.775</v>
      </c>
      <c r="H23" s="73">
        <f>IF(E23*G24,+E23*G24,"        ")</f>
        <v>329.1669642857143</v>
      </c>
      <c r="I23" s="48">
        <f aca="true" t="shared" si="1" ref="I23:I28">E23/B$10</f>
        <v>0.07959183673469387</v>
      </c>
      <c r="J23" s="49">
        <f t="shared" si="0"/>
        <v>0.025218929037996288</v>
      </c>
      <c r="L23" s="8"/>
      <c r="M23" s="10"/>
    </row>
    <row r="24" spans="1:40" s="4" customFormat="1" ht="12.75">
      <c r="A24" s="74" t="s">
        <v>85</v>
      </c>
      <c r="B24" s="69"/>
      <c r="C24" s="75"/>
      <c r="D24" s="46"/>
      <c r="E24" s="47">
        <f>23.86/62.77</f>
        <v>0.3801178907121236</v>
      </c>
      <c r="F24" s="76" t="s">
        <v>26</v>
      </c>
      <c r="G24" s="73">
        <v>1181.625</v>
      </c>
      <c r="H24" s="73">
        <f>IF(E24*G25,+E24*G25,"        ")</f>
        <v>186.1437310817269</v>
      </c>
      <c r="I24" s="48">
        <f t="shared" si="1"/>
        <v>0.10860511163203532</v>
      </c>
      <c r="J24" s="49">
        <f t="shared" si="0"/>
        <v>0.014261290027097862</v>
      </c>
      <c r="N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</row>
    <row r="25" spans="1:40" s="4" customFormat="1" ht="12.75">
      <c r="A25" s="74" t="s">
        <v>95</v>
      </c>
      <c r="B25" s="69"/>
      <c r="C25" s="69"/>
      <c r="D25" s="70"/>
      <c r="E25" s="71">
        <v>0.5668</v>
      </c>
      <c r="F25" s="76" t="s">
        <v>73</v>
      </c>
      <c r="G25" s="73">
        <v>489.7</v>
      </c>
      <c r="H25" s="73">
        <f aca="true" t="shared" si="2" ref="H25:H31">IF(E25*G25,+E25*G25,"        ")</f>
        <v>277.56196</v>
      </c>
      <c r="I25" s="48">
        <f t="shared" si="1"/>
        <v>0.16194285714285714</v>
      </c>
      <c r="J25" s="49">
        <f t="shared" si="0"/>
        <v>0.021265242665152086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s="68" customFormat="1" ht="12.75">
      <c r="A26" s="74" t="s">
        <v>86</v>
      </c>
      <c r="B26" s="69"/>
      <c r="C26" s="69"/>
      <c r="D26" s="70"/>
      <c r="E26" s="71">
        <f>14.58/46.67</f>
        <v>0.3124062566959503</v>
      </c>
      <c r="F26" s="76" t="s">
        <v>73</v>
      </c>
      <c r="G26" s="50">
        <v>345.8333333333333</v>
      </c>
      <c r="H26" s="73">
        <f t="shared" si="2"/>
        <v>108.04049710734947</v>
      </c>
      <c r="I26" s="48">
        <f t="shared" si="1"/>
        <v>0.08925893048455723</v>
      </c>
      <c r="J26" s="49">
        <f t="shared" si="0"/>
        <v>0.008277457720256221</v>
      </c>
      <c r="K26" s="4"/>
      <c r="L26" s="4"/>
      <c r="M26" s="4"/>
      <c r="N26" s="4"/>
      <c r="O26" s="4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</row>
    <row r="27" spans="1:40" s="68" customFormat="1" ht="12.75">
      <c r="A27" s="74" t="s">
        <v>94</v>
      </c>
      <c r="B27" s="69"/>
      <c r="C27" s="69"/>
      <c r="D27" s="77"/>
      <c r="E27" s="71">
        <v>0.3125</v>
      </c>
      <c r="F27" s="76" t="s">
        <v>73</v>
      </c>
      <c r="G27" s="73">
        <v>210</v>
      </c>
      <c r="H27" s="73">
        <f t="shared" si="2"/>
        <v>65.625</v>
      </c>
      <c r="I27" s="117">
        <f t="shared" si="1"/>
        <v>0.08928571428571429</v>
      </c>
      <c r="J27" s="49">
        <f t="shared" si="0"/>
        <v>0.005027819914157565</v>
      </c>
      <c r="K27" s="4"/>
      <c r="L27" s="4"/>
      <c r="M27" s="4"/>
      <c r="N27" s="4"/>
      <c r="O27" s="4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s="68" customFormat="1" ht="12.75">
      <c r="A28" s="74" t="s">
        <v>105</v>
      </c>
      <c r="B28" s="69"/>
      <c r="C28" s="69"/>
      <c r="D28" s="77"/>
      <c r="E28" s="71">
        <v>0.1</v>
      </c>
      <c r="F28" s="76" t="s">
        <v>73</v>
      </c>
      <c r="G28" s="73">
        <v>395</v>
      </c>
      <c r="H28" s="73">
        <f t="shared" si="2"/>
        <v>39.5</v>
      </c>
      <c r="I28" s="117">
        <f t="shared" si="1"/>
        <v>0.028571428571428574</v>
      </c>
      <c r="J28" s="49">
        <f t="shared" si="0"/>
        <v>0.00302626874833103</v>
      </c>
      <c r="K28" s="4"/>
      <c r="L28" s="4"/>
      <c r="M28" s="4"/>
      <c r="N28" s="4"/>
      <c r="O28" s="4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</row>
    <row r="29" spans="1:40" s="68" customFormat="1" ht="12.75">
      <c r="A29" s="74" t="s">
        <v>106</v>
      </c>
      <c r="B29" s="69"/>
      <c r="C29" s="69"/>
      <c r="D29" s="89"/>
      <c r="E29" s="71">
        <v>0.3125</v>
      </c>
      <c r="F29" s="76" t="s">
        <v>73</v>
      </c>
      <c r="G29" s="73">
        <v>169.5</v>
      </c>
      <c r="H29" s="73">
        <f t="shared" si="2"/>
        <v>52.96875</v>
      </c>
      <c r="I29" s="90">
        <f>E29/B$10</f>
        <v>0.08928571428571429</v>
      </c>
      <c r="J29" s="49">
        <f t="shared" si="0"/>
        <v>0.004058168930712892</v>
      </c>
      <c r="K29" s="4"/>
      <c r="L29" s="4"/>
      <c r="M29" s="4"/>
      <c r="N29" s="4"/>
      <c r="O29" s="4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</row>
    <row r="30" spans="1:40" s="68" customFormat="1" ht="12.75">
      <c r="A30" s="74" t="s">
        <v>91</v>
      </c>
      <c r="B30" s="69"/>
      <c r="C30" s="69"/>
      <c r="D30" s="70"/>
      <c r="E30" s="71">
        <v>3</v>
      </c>
      <c r="F30" s="76" t="s">
        <v>90</v>
      </c>
      <c r="G30" s="73">
        <v>184.02000000000004</v>
      </c>
      <c r="H30" s="73">
        <f t="shared" si="2"/>
        <v>552.0600000000002</v>
      </c>
      <c r="I30" s="90">
        <f>E30/B$10</f>
        <v>0.8571428571428571</v>
      </c>
      <c r="J30" s="49">
        <f t="shared" si="0"/>
        <v>0.04229574494186402</v>
      </c>
      <c r="K30" s="4"/>
      <c r="L30" s="4"/>
      <c r="M30" s="4"/>
      <c r="N30" s="4"/>
      <c r="O30" s="4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</row>
    <row r="31" spans="1:40" s="68" customFormat="1" ht="12.75">
      <c r="A31" s="74" t="s">
        <v>92</v>
      </c>
      <c r="B31" s="69"/>
      <c r="C31" s="69"/>
      <c r="D31" s="70"/>
      <c r="E31" s="71">
        <v>1</v>
      </c>
      <c r="F31" s="76" t="s">
        <v>24</v>
      </c>
      <c r="G31" s="73">
        <v>150</v>
      </c>
      <c r="H31" s="73">
        <f t="shared" si="2"/>
        <v>150</v>
      </c>
      <c r="I31" s="48">
        <f>E31/B$10</f>
        <v>0.2857142857142857</v>
      </c>
      <c r="J31" s="49">
        <f t="shared" si="0"/>
        <v>0.011492159803788721</v>
      </c>
      <c r="K31" s="4"/>
      <c r="L31" s="4"/>
      <c r="M31" s="4"/>
      <c r="N31" s="4"/>
      <c r="O31" s="4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s="68" customFormat="1" ht="12.75">
      <c r="A32" s="74"/>
      <c r="B32" s="69"/>
      <c r="C32" s="69"/>
      <c r="D32" s="70"/>
      <c r="E32" s="71"/>
      <c r="F32" s="76"/>
      <c r="G32" s="73"/>
      <c r="H32" s="73"/>
      <c r="I32" s="48"/>
      <c r="J32" s="49"/>
      <c r="K32" s="4"/>
      <c r="L32" s="4"/>
      <c r="M32" s="4"/>
      <c r="N32" s="4"/>
      <c r="O32" s="4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</row>
    <row r="33" spans="1:40" s="68" customFormat="1" ht="12.75">
      <c r="A33" s="74" t="s">
        <v>93</v>
      </c>
      <c r="B33" s="97"/>
      <c r="C33" s="130"/>
      <c r="D33" s="131"/>
      <c r="E33" s="132">
        <v>1</v>
      </c>
      <c r="F33" s="133" t="s">
        <v>24</v>
      </c>
      <c r="G33" s="134">
        <f>+(80.49/12)*15</f>
        <v>100.6125</v>
      </c>
      <c r="H33" s="134">
        <f>IF(E33*G33,+E33*G33,"        ")</f>
        <v>100.6125</v>
      </c>
      <c r="I33" s="135">
        <f>E33/B$10</f>
        <v>0.2857142857142857</v>
      </c>
      <c r="J33" s="136">
        <f>H33/H$122</f>
        <v>0.007708366188391284</v>
      </c>
      <c r="K33" s="4"/>
      <c r="L33" s="4"/>
      <c r="M33" s="4"/>
      <c r="N33" s="4"/>
      <c r="O33" s="4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</row>
    <row r="34" spans="1:40" s="4" customFormat="1" ht="12" customHeight="1">
      <c r="A34" s="51"/>
      <c r="B34" s="69"/>
      <c r="C34" s="69"/>
      <c r="D34" s="70"/>
      <c r="E34" s="71"/>
      <c r="F34" s="72"/>
      <c r="G34" s="73"/>
      <c r="H34" s="73"/>
      <c r="I34" s="48"/>
      <c r="J34" s="49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</row>
    <row r="35" spans="1:40" s="4" customFormat="1" ht="12.75">
      <c r="A35" s="45" t="s">
        <v>25</v>
      </c>
      <c r="B35" s="69"/>
      <c r="C35" s="69"/>
      <c r="D35" s="70"/>
      <c r="E35" s="70"/>
      <c r="F35" s="72"/>
      <c r="G35" s="73"/>
      <c r="H35" s="73"/>
      <c r="I35" s="48"/>
      <c r="J35" s="49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s="4" customFormat="1" ht="2.25" customHeight="1">
      <c r="A36" s="51"/>
      <c r="B36" s="69"/>
      <c r="C36" s="69"/>
      <c r="D36" s="70"/>
      <c r="E36" s="71"/>
      <c r="F36" s="72"/>
      <c r="G36" s="73"/>
      <c r="H36" s="73"/>
      <c r="I36" s="48"/>
      <c r="J36" s="49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</row>
    <row r="37" spans="1:40" s="4" customFormat="1" ht="16.5" customHeight="1">
      <c r="A37" s="74" t="s">
        <v>96</v>
      </c>
      <c r="B37" s="69"/>
      <c r="C37" s="69"/>
      <c r="D37" s="70"/>
      <c r="E37" s="71">
        <v>1</v>
      </c>
      <c r="F37" s="76" t="s">
        <v>24</v>
      </c>
      <c r="G37" s="73">
        <v>250</v>
      </c>
      <c r="H37" s="73">
        <f aca="true" t="shared" si="3" ref="H37:H43">IF(E37*G37,+E37*G37,"        ")</f>
        <v>250</v>
      </c>
      <c r="I37" s="90">
        <f aca="true" t="shared" si="4" ref="I37:I43">E37/B$10</f>
        <v>0.2857142857142857</v>
      </c>
      <c r="J37" s="49">
        <f aca="true" t="shared" si="5" ref="J37:J43">H37/H$122</f>
        <v>0.019153599672981202</v>
      </c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10" s="4" customFormat="1" ht="12.75">
      <c r="A38" s="74" t="s">
        <v>97</v>
      </c>
      <c r="B38" s="69"/>
      <c r="C38" s="69"/>
      <c r="D38" s="70"/>
      <c r="E38" s="71">
        <v>1</v>
      </c>
      <c r="F38" s="76" t="s">
        <v>24</v>
      </c>
      <c r="G38" s="73">
        <v>200</v>
      </c>
      <c r="H38" s="73">
        <f t="shared" si="3"/>
        <v>200</v>
      </c>
      <c r="I38" s="90">
        <f t="shared" si="4"/>
        <v>0.2857142857142857</v>
      </c>
      <c r="J38" s="49">
        <f t="shared" si="5"/>
        <v>0.01532287973838496</v>
      </c>
    </row>
    <row r="39" spans="1:11" s="4" customFormat="1" ht="12.75">
      <c r="A39" s="74" t="s">
        <v>98</v>
      </c>
      <c r="B39" s="69"/>
      <c r="C39" s="69"/>
      <c r="D39" s="70"/>
      <c r="E39" s="71">
        <v>1</v>
      </c>
      <c r="F39" s="76" t="s">
        <v>24</v>
      </c>
      <c r="G39" s="73">
        <v>400</v>
      </c>
      <c r="H39" s="73">
        <f t="shared" si="3"/>
        <v>400</v>
      </c>
      <c r="I39" s="90">
        <f t="shared" si="4"/>
        <v>0.2857142857142857</v>
      </c>
      <c r="J39" s="49">
        <f t="shared" si="5"/>
        <v>0.03064575947676992</v>
      </c>
      <c r="K39" s="81">
        <v>500</v>
      </c>
    </row>
    <row r="40" spans="1:10" s="4" customFormat="1" ht="12.75">
      <c r="A40" s="74" t="s">
        <v>99</v>
      </c>
      <c r="B40" s="69"/>
      <c r="C40" s="75"/>
      <c r="D40" s="70"/>
      <c r="E40" s="71">
        <v>1</v>
      </c>
      <c r="F40" s="76" t="s">
        <v>24</v>
      </c>
      <c r="G40" s="73">
        <v>200</v>
      </c>
      <c r="H40" s="73">
        <f t="shared" si="3"/>
        <v>200</v>
      </c>
      <c r="I40" s="90">
        <f t="shared" si="4"/>
        <v>0.2857142857142857</v>
      </c>
      <c r="J40" s="49">
        <f t="shared" si="5"/>
        <v>0.01532287973838496</v>
      </c>
    </row>
    <row r="41" spans="1:10" s="4" customFormat="1" ht="12.75">
      <c r="A41" s="74" t="s">
        <v>100</v>
      </c>
      <c r="B41" s="69"/>
      <c r="C41" s="69"/>
      <c r="D41" s="70"/>
      <c r="E41" s="71">
        <v>1</v>
      </c>
      <c r="F41" s="76" t="s">
        <v>24</v>
      </c>
      <c r="G41" s="73">
        <v>600</v>
      </c>
      <c r="H41" s="73">
        <f t="shared" si="3"/>
        <v>600</v>
      </c>
      <c r="I41" s="90">
        <f t="shared" si="4"/>
        <v>0.2857142857142857</v>
      </c>
      <c r="J41" s="49">
        <f t="shared" si="5"/>
        <v>0.045968639215154886</v>
      </c>
    </row>
    <row r="42" spans="1:10" s="4" customFormat="1" ht="12.75">
      <c r="A42" s="74" t="s">
        <v>101</v>
      </c>
      <c r="B42" s="69"/>
      <c r="C42" s="69"/>
      <c r="D42" s="70"/>
      <c r="E42" s="71">
        <v>1</v>
      </c>
      <c r="F42" s="76" t="s">
        <v>24</v>
      </c>
      <c r="G42" s="73">
        <v>220</v>
      </c>
      <c r="H42" s="73">
        <f t="shared" si="3"/>
        <v>220</v>
      </c>
      <c r="I42" s="90">
        <f t="shared" si="4"/>
        <v>0.2857142857142857</v>
      </c>
      <c r="J42" s="49">
        <f t="shared" si="5"/>
        <v>0.016855167712223458</v>
      </c>
    </row>
    <row r="43" spans="1:10" s="4" customFormat="1" ht="12.75">
      <c r="A43" s="74" t="s">
        <v>102</v>
      </c>
      <c r="B43" s="69"/>
      <c r="C43" s="75"/>
      <c r="D43" s="70"/>
      <c r="E43" s="71">
        <v>0.13</v>
      </c>
      <c r="F43" s="76" t="s">
        <v>8</v>
      </c>
      <c r="G43" s="73">
        <f>+B15</f>
        <v>500</v>
      </c>
      <c r="H43" s="73">
        <f t="shared" si="3"/>
        <v>65</v>
      </c>
      <c r="I43" s="90">
        <f t="shared" si="4"/>
        <v>0.037142857142857144</v>
      </c>
      <c r="J43" s="49">
        <f t="shared" si="5"/>
        <v>0.004979935914975113</v>
      </c>
    </row>
    <row r="44" spans="1:10" s="4" customFormat="1" ht="12" customHeight="1">
      <c r="A44" s="51"/>
      <c r="B44" s="69"/>
      <c r="C44" s="69"/>
      <c r="D44" s="70"/>
      <c r="E44" s="70"/>
      <c r="F44" s="72"/>
      <c r="G44" s="70"/>
      <c r="H44" s="70"/>
      <c r="I44" s="48"/>
      <c r="J44" s="49"/>
    </row>
    <row r="45" spans="1:12" s="4" customFormat="1" ht="13.5" customHeight="1">
      <c r="A45" s="74" t="s">
        <v>116</v>
      </c>
      <c r="B45" s="69"/>
      <c r="C45" s="69"/>
      <c r="D45" s="76" t="s">
        <v>23</v>
      </c>
      <c r="E45" s="71">
        <v>0.15</v>
      </c>
      <c r="F45" s="76" t="s">
        <v>8</v>
      </c>
      <c r="G45" s="73">
        <f>+B15</f>
        <v>500</v>
      </c>
      <c r="H45" s="73">
        <f>IF(E45*G45,+E45*G45,"        ")</f>
        <v>75</v>
      </c>
      <c r="I45" s="48">
        <f>E45/B$10</f>
        <v>0.04285714285714286</v>
      </c>
      <c r="J45" s="49">
        <f>H45/H$122</f>
        <v>0.005746079901894361</v>
      </c>
      <c r="L45" s="11"/>
    </row>
    <row r="46" spans="1:12" s="4" customFormat="1" ht="18.75" customHeight="1">
      <c r="A46" s="182" t="s">
        <v>109</v>
      </c>
      <c r="B46" s="183"/>
      <c r="C46" s="184"/>
      <c r="D46" s="7"/>
      <c r="E46" s="71">
        <v>1.9109</v>
      </c>
      <c r="F46" s="76" t="s">
        <v>8</v>
      </c>
      <c r="G46" s="73">
        <f>+B15</f>
        <v>500</v>
      </c>
      <c r="H46" s="73">
        <f>IF(E46*G46,+E46*G46,"        ")</f>
        <v>955.45</v>
      </c>
      <c r="I46" s="48">
        <f>E46/B$10</f>
        <v>0.5459714285714286</v>
      </c>
      <c r="J46" s="49">
        <f>H46/H$122</f>
        <v>0.07320122723019956</v>
      </c>
      <c r="L46" s="11"/>
    </row>
    <row r="47" spans="1:10" s="4" customFormat="1" ht="15" customHeight="1">
      <c r="A47" s="74" t="s">
        <v>103</v>
      </c>
      <c r="B47" s="69"/>
      <c r="C47" s="69"/>
      <c r="D47" s="70"/>
      <c r="E47" s="70"/>
      <c r="F47" s="72"/>
      <c r="G47" s="70"/>
      <c r="H47" s="73"/>
      <c r="I47" s="48"/>
      <c r="J47" s="49"/>
    </row>
    <row r="48" spans="1:12" s="4" customFormat="1" ht="12.75">
      <c r="A48" s="74" t="s">
        <v>72</v>
      </c>
      <c r="B48" s="69"/>
      <c r="C48" s="69"/>
      <c r="D48" s="70"/>
      <c r="E48" s="71">
        <v>0.2483</v>
      </c>
      <c r="F48" s="76" t="s">
        <v>8</v>
      </c>
      <c r="G48" s="73">
        <f>+$B$15</f>
        <v>500</v>
      </c>
      <c r="H48" s="73">
        <f>IF(E48*G48,+E48*G48,"        ")</f>
        <v>124.14999999999999</v>
      </c>
      <c r="I48" s="48">
        <f>E48/B$10</f>
        <v>0.07094285714285714</v>
      </c>
      <c r="J48" s="49">
        <f>H48/H$122</f>
        <v>0.009511677597602464</v>
      </c>
      <c r="L48" s="13"/>
    </row>
    <row r="49" spans="1:11" s="4" customFormat="1" ht="12.75">
      <c r="A49" s="74" t="s">
        <v>110</v>
      </c>
      <c r="B49" s="69"/>
      <c r="C49" s="69"/>
      <c r="D49" s="70"/>
      <c r="E49" s="84">
        <f>0.1*2</f>
        <v>0.2</v>
      </c>
      <c r="F49" s="76" t="s">
        <v>8</v>
      </c>
      <c r="G49" s="85">
        <f>+$B$15</f>
        <v>500</v>
      </c>
      <c r="H49" s="73">
        <f>IF(E49*G49,+E49*G49,"        ")</f>
        <v>100</v>
      </c>
      <c r="I49" s="90">
        <f>E49/B$10</f>
        <v>0.05714285714285715</v>
      </c>
      <c r="J49" s="49">
        <f>H49/H$122</f>
        <v>0.00766143986919248</v>
      </c>
      <c r="K49" s="81"/>
    </row>
    <row r="50" spans="1:11" s="4" customFormat="1" ht="12.75">
      <c r="A50" s="74"/>
      <c r="B50" s="69"/>
      <c r="C50" s="69"/>
      <c r="D50" s="70"/>
      <c r="E50" s="84"/>
      <c r="F50" s="76"/>
      <c r="G50" s="85"/>
      <c r="H50" s="73"/>
      <c r="I50" s="90"/>
      <c r="J50" s="49"/>
      <c r="K50" s="81"/>
    </row>
    <row r="51" spans="1:10" s="92" customFormat="1" ht="12.75">
      <c r="A51" s="74" t="s">
        <v>111</v>
      </c>
      <c r="B51" s="69"/>
      <c r="C51" s="69"/>
      <c r="D51" s="76" t="s">
        <v>22</v>
      </c>
      <c r="E51" s="87">
        <v>0.0267</v>
      </c>
      <c r="F51" s="76" t="s">
        <v>8</v>
      </c>
      <c r="G51" s="85">
        <f>+$B$15</f>
        <v>500</v>
      </c>
      <c r="H51" s="73">
        <f>IF(E51*G51,+E51*G51,"        ")</f>
        <v>13.350000000000001</v>
      </c>
      <c r="I51" s="90">
        <f>E51/B$10</f>
        <v>0.007628571428571429</v>
      </c>
      <c r="J51" s="49">
        <f>H51/H$122</f>
        <v>0.0010228022225371963</v>
      </c>
    </row>
    <row r="52" spans="1:10" s="92" customFormat="1" ht="12.75">
      <c r="A52" s="74" t="s">
        <v>112</v>
      </c>
      <c r="B52" s="69"/>
      <c r="C52" s="69"/>
      <c r="D52" s="70"/>
      <c r="E52" s="87">
        <f>0.1*2</f>
        <v>0.2</v>
      </c>
      <c r="F52" s="76" t="s">
        <v>8</v>
      </c>
      <c r="G52" s="73">
        <f>+$B$15</f>
        <v>500</v>
      </c>
      <c r="H52" s="73">
        <f>IF(E52*G52,+E52*G52,"        ")</f>
        <v>100</v>
      </c>
      <c r="I52" s="90">
        <f>E52/B$10</f>
        <v>0.05714285714285715</v>
      </c>
      <c r="J52" s="49">
        <f>H52/H$122</f>
        <v>0.00766143986919248</v>
      </c>
    </row>
    <row r="53" spans="1:11" s="88" customFormat="1" ht="12.75">
      <c r="A53" s="74" t="s">
        <v>113</v>
      </c>
      <c r="B53" s="69"/>
      <c r="C53" s="69"/>
      <c r="D53" s="70"/>
      <c r="E53" s="84"/>
      <c r="F53" s="72"/>
      <c r="G53" s="85"/>
      <c r="H53" s="73"/>
      <c r="I53" s="91"/>
      <c r="J53" s="118"/>
      <c r="K53" s="92"/>
    </row>
    <row r="54" spans="1:11" s="88" customFormat="1" ht="12.75">
      <c r="A54" s="74" t="s">
        <v>104</v>
      </c>
      <c r="B54" s="69"/>
      <c r="C54" s="69"/>
      <c r="D54" s="70"/>
      <c r="E54" s="84">
        <v>0.2483</v>
      </c>
      <c r="F54" s="76" t="s">
        <v>8</v>
      </c>
      <c r="G54" s="85">
        <v>350</v>
      </c>
      <c r="H54" s="73">
        <f>IF(E54*G54,+E54*G54,"        ")</f>
        <v>86.905</v>
      </c>
      <c r="I54" s="90">
        <f>E54/B$10</f>
        <v>0.07094285714285714</v>
      </c>
      <c r="J54" s="49">
        <f>H54/H$122</f>
        <v>0.006658174318321725</v>
      </c>
      <c r="K54" s="92"/>
    </row>
    <row r="55" spans="1:10" s="92" customFormat="1" ht="12.75">
      <c r="A55" s="74" t="s">
        <v>114</v>
      </c>
      <c r="B55" s="69"/>
      <c r="C55" s="69"/>
      <c r="D55" s="70"/>
      <c r="E55" s="87">
        <v>0.1667</v>
      </c>
      <c r="F55" s="76" t="s">
        <v>8</v>
      </c>
      <c r="G55" s="73">
        <f>+$B$15</f>
        <v>500</v>
      </c>
      <c r="H55" s="73">
        <f>IF(E55*G55,+E55*G55,"        ")</f>
        <v>83.35</v>
      </c>
      <c r="I55" s="90">
        <f>E55/B$10</f>
        <v>0.04762857142857142</v>
      </c>
      <c r="J55" s="49">
        <f>H55/H$122</f>
        <v>0.006385810130971932</v>
      </c>
    </row>
    <row r="56" spans="1:10" s="88" customFormat="1" ht="12.75">
      <c r="A56" s="74" t="s">
        <v>115</v>
      </c>
      <c r="B56" s="69"/>
      <c r="C56" s="69"/>
      <c r="D56" s="70"/>
      <c r="E56" s="70"/>
      <c r="F56" s="72"/>
      <c r="G56" s="70"/>
      <c r="H56" s="73"/>
      <c r="I56" s="48"/>
      <c r="J56" s="49"/>
    </row>
    <row r="57" spans="1:10" s="88" customFormat="1" ht="13.5" thickBot="1">
      <c r="A57" s="121" t="s">
        <v>74</v>
      </c>
      <c r="B57" s="79"/>
      <c r="C57" s="79"/>
      <c r="D57" s="80"/>
      <c r="E57" s="122">
        <v>0.1272</v>
      </c>
      <c r="F57" s="59" t="s">
        <v>8</v>
      </c>
      <c r="G57" s="123">
        <f>+$B$15</f>
        <v>500</v>
      </c>
      <c r="H57" s="123">
        <f>IF(E57*G57,+E57*G57,"        ")</f>
        <v>63.6</v>
      </c>
      <c r="I57" s="52">
        <f>E57/B$10</f>
        <v>0.03634285714285714</v>
      </c>
      <c r="J57" s="53">
        <f>H57/H$122</f>
        <v>0.004872675756806418</v>
      </c>
    </row>
    <row r="58" spans="1:10" s="88" customFormat="1" ht="5.25" customHeight="1">
      <c r="A58" s="51"/>
      <c r="B58" s="69"/>
      <c r="C58" s="69"/>
      <c r="D58" s="69"/>
      <c r="E58" s="69"/>
      <c r="F58" s="124"/>
      <c r="G58" s="69"/>
      <c r="H58" s="69"/>
      <c r="I58" s="125"/>
      <c r="J58" s="126"/>
    </row>
    <row r="59" spans="1:13" s="4" customFormat="1" ht="12.75">
      <c r="A59" s="185" t="s">
        <v>87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20"/>
      <c r="L59" s="120"/>
      <c r="M59" s="120"/>
    </row>
    <row r="60" spans="1:10" s="7" customFormat="1" ht="13.5" thickBot="1">
      <c r="A60" s="185"/>
      <c r="B60" s="185"/>
      <c r="C60" s="185"/>
      <c r="D60" s="185"/>
      <c r="E60" s="185"/>
      <c r="F60" s="185"/>
      <c r="G60" s="185"/>
      <c r="H60" s="185"/>
      <c r="I60" s="185"/>
      <c r="J60" s="185"/>
    </row>
    <row r="61" spans="1:10" s="92" customFormat="1" ht="12.75">
      <c r="A61" s="127" t="s">
        <v>117</v>
      </c>
      <c r="B61" s="82"/>
      <c r="C61" s="82"/>
      <c r="D61" s="128" t="s">
        <v>21</v>
      </c>
      <c r="E61" s="129">
        <f>0.1*3</f>
        <v>0.30000000000000004</v>
      </c>
      <c r="F61" s="128" t="s">
        <v>8</v>
      </c>
      <c r="G61" s="66">
        <f>+$B$15</f>
        <v>500</v>
      </c>
      <c r="H61" s="66">
        <f>IF(E61*G61,+E61*G61,"        ")</f>
        <v>150.00000000000003</v>
      </c>
      <c r="I61" s="66">
        <f>E61/B$10</f>
        <v>0.08571428571428573</v>
      </c>
      <c r="J61" s="55">
        <f>H61/H$122</f>
        <v>0.011492159803788723</v>
      </c>
    </row>
    <row r="62" spans="1:10" s="92" customFormat="1" ht="12.75">
      <c r="A62" s="74" t="s">
        <v>118</v>
      </c>
      <c r="B62" s="69"/>
      <c r="C62" s="69"/>
      <c r="D62" s="70"/>
      <c r="E62" s="87"/>
      <c r="F62" s="76"/>
      <c r="G62" s="73"/>
      <c r="H62" s="73"/>
      <c r="I62" s="73"/>
      <c r="J62" s="49"/>
    </row>
    <row r="63" spans="1:10" s="92" customFormat="1" ht="12.75">
      <c r="A63" s="74" t="s">
        <v>107</v>
      </c>
      <c r="B63" s="69"/>
      <c r="C63" s="69"/>
      <c r="D63" s="70"/>
      <c r="E63" s="84">
        <v>0.2483</v>
      </c>
      <c r="F63" s="72" t="s">
        <v>8</v>
      </c>
      <c r="G63" s="85">
        <f>+B15</f>
        <v>500</v>
      </c>
      <c r="H63" s="73">
        <f>IF(E63*G63,+E63*G63,"        ")</f>
        <v>124.14999999999999</v>
      </c>
      <c r="I63" s="73">
        <f>E63/B$10</f>
        <v>0.07094285714285714</v>
      </c>
      <c r="J63" s="49">
        <f>H63/H$122</f>
        <v>0.009511677597602464</v>
      </c>
    </row>
    <row r="64" spans="1:10" s="92" customFormat="1" ht="12.75">
      <c r="A64" s="74" t="s">
        <v>119</v>
      </c>
      <c r="B64" s="69"/>
      <c r="C64" s="69"/>
      <c r="D64" s="70"/>
      <c r="E64" s="84">
        <v>0.1667</v>
      </c>
      <c r="F64" s="76" t="s">
        <v>8</v>
      </c>
      <c r="G64" s="85">
        <f>+$B$15</f>
        <v>500</v>
      </c>
      <c r="H64" s="73">
        <f>IF(E64*G64,+E64*G64,"        ")</f>
        <v>83.35</v>
      </c>
      <c r="I64" s="73">
        <f>E64/B$10</f>
        <v>0.04762857142857142</v>
      </c>
      <c r="J64" s="49">
        <f>H64/H$122</f>
        <v>0.006385810130971932</v>
      </c>
    </row>
    <row r="65" spans="1:10" s="4" customFormat="1" ht="9" customHeight="1">
      <c r="A65" s="51"/>
      <c r="B65" s="69"/>
      <c r="C65" s="69"/>
      <c r="D65" s="70"/>
      <c r="E65" s="70"/>
      <c r="F65" s="72"/>
      <c r="G65" s="70"/>
      <c r="H65" s="70"/>
      <c r="I65" s="70"/>
      <c r="J65" s="49"/>
    </row>
    <row r="66" spans="1:14" s="4" customFormat="1" ht="12.75">
      <c r="A66" s="74" t="s">
        <v>120</v>
      </c>
      <c r="B66" s="69"/>
      <c r="C66" s="69"/>
      <c r="D66" s="76" t="s">
        <v>20</v>
      </c>
      <c r="E66" s="87">
        <f>0.1*3</f>
        <v>0.30000000000000004</v>
      </c>
      <c r="F66" s="76" t="s">
        <v>8</v>
      </c>
      <c r="G66" s="73">
        <f>+$B$15</f>
        <v>500</v>
      </c>
      <c r="H66" s="73">
        <f>IF(E66*G66,+E66*G66,"        ")</f>
        <v>150.00000000000003</v>
      </c>
      <c r="I66" s="73">
        <f>E66/B$10</f>
        <v>0.08571428571428573</v>
      </c>
      <c r="J66" s="49">
        <f>H66/H$122</f>
        <v>0.011492159803788723</v>
      </c>
      <c r="M66" s="13"/>
      <c r="N66" s="13"/>
    </row>
    <row r="67" spans="1:10" s="4" customFormat="1" ht="12.75">
      <c r="A67" s="74" t="s">
        <v>121</v>
      </c>
      <c r="B67" s="69"/>
      <c r="C67" s="78"/>
      <c r="D67" s="70"/>
      <c r="E67" s="71">
        <v>0.2</v>
      </c>
      <c r="F67" s="76" t="s">
        <v>8</v>
      </c>
      <c r="G67" s="73">
        <f>+$B$15</f>
        <v>500</v>
      </c>
      <c r="H67" s="73">
        <f>IF(E67*G67,+E67*G67,"        ")</f>
        <v>100</v>
      </c>
      <c r="I67" s="73">
        <f>E67/B$10</f>
        <v>0.05714285714285715</v>
      </c>
      <c r="J67" s="49">
        <f>H67/H$122</f>
        <v>0.00766143986919248</v>
      </c>
    </row>
    <row r="68" spans="1:10" s="4" customFormat="1" ht="8.25" customHeight="1">
      <c r="A68" s="51"/>
      <c r="B68" s="69"/>
      <c r="C68" s="69"/>
      <c r="D68" s="70"/>
      <c r="E68" s="70"/>
      <c r="F68" s="72"/>
      <c r="G68" s="70"/>
      <c r="H68" s="70"/>
      <c r="I68" s="70"/>
      <c r="J68" s="49"/>
    </row>
    <row r="69" spans="1:10" s="4" customFormat="1" ht="13.5" customHeight="1">
      <c r="A69" s="74" t="s">
        <v>122</v>
      </c>
      <c r="B69" s="69"/>
      <c r="C69" s="69"/>
      <c r="D69" s="76" t="s">
        <v>19</v>
      </c>
      <c r="E69" s="87">
        <f>0.1*3</f>
        <v>0.30000000000000004</v>
      </c>
      <c r="F69" s="76" t="s">
        <v>8</v>
      </c>
      <c r="G69" s="73">
        <f>+$B$15</f>
        <v>500</v>
      </c>
      <c r="H69" s="73">
        <f>IF(E69*G69,+E69*G69,"        ")</f>
        <v>150.00000000000003</v>
      </c>
      <c r="I69" s="73">
        <f>E69/B$10</f>
        <v>0.08571428571428573</v>
      </c>
      <c r="J69" s="49">
        <f>H69/H$122</f>
        <v>0.011492159803788723</v>
      </c>
    </row>
    <row r="70" spans="1:10" s="4" customFormat="1" ht="12.75">
      <c r="A70" s="74" t="s">
        <v>123</v>
      </c>
      <c r="B70" s="69"/>
      <c r="C70" s="69"/>
      <c r="D70" s="70"/>
      <c r="E70" s="70"/>
      <c r="F70" s="72"/>
      <c r="G70" s="70"/>
      <c r="H70" s="73"/>
      <c r="I70" s="73"/>
      <c r="J70" s="49"/>
    </row>
    <row r="71" spans="1:10" s="4" customFormat="1" ht="12.75">
      <c r="A71" s="74" t="s">
        <v>127</v>
      </c>
      <c r="B71" s="69"/>
      <c r="C71" s="69"/>
      <c r="D71" s="76"/>
      <c r="E71" s="71">
        <v>0.4966</v>
      </c>
      <c r="F71" s="76" t="s">
        <v>8</v>
      </c>
      <c r="G71" s="73">
        <f>+$B$15</f>
        <v>500</v>
      </c>
      <c r="H71" s="73">
        <f>IF(E71*G71,+E71*G71,"        ")</f>
        <v>248.29999999999998</v>
      </c>
      <c r="I71" s="73">
        <f>E71/B$10</f>
        <v>0.14188571428571428</v>
      </c>
      <c r="J71" s="49">
        <f>H71/H$122</f>
        <v>0.019023355195204927</v>
      </c>
    </row>
    <row r="72" spans="1:10" s="4" customFormat="1" ht="8.25" customHeight="1">
      <c r="A72" s="74"/>
      <c r="B72" s="69"/>
      <c r="C72" s="69"/>
      <c r="D72" s="76"/>
      <c r="E72" s="87"/>
      <c r="F72" s="76"/>
      <c r="G72" s="73"/>
      <c r="H72" s="73"/>
      <c r="I72" s="73"/>
      <c r="J72" s="49"/>
    </row>
    <row r="73" spans="1:10" s="4" customFormat="1" ht="12.75">
      <c r="A73" s="74" t="s">
        <v>133</v>
      </c>
      <c r="B73" s="69"/>
      <c r="C73" s="78"/>
      <c r="D73" s="76" t="s">
        <v>18</v>
      </c>
      <c r="E73" s="87">
        <f>0.1*4</f>
        <v>0.4</v>
      </c>
      <c r="F73" s="76" t="s">
        <v>8</v>
      </c>
      <c r="G73" s="73">
        <f>+$B$15</f>
        <v>500</v>
      </c>
      <c r="H73" s="73">
        <f>IF(E73*G73,+E73*G73,"        ")</f>
        <v>200</v>
      </c>
      <c r="I73" s="73">
        <f>E73/B$10</f>
        <v>0.1142857142857143</v>
      </c>
      <c r="J73" s="49">
        <f>H73/H$122</f>
        <v>0.01532287973838496</v>
      </c>
    </row>
    <row r="74" spans="1:15" s="92" customFormat="1" ht="12.75">
      <c r="A74" s="74" t="s">
        <v>124</v>
      </c>
      <c r="B74" s="69"/>
      <c r="C74" s="69"/>
      <c r="D74" s="70"/>
      <c r="E74" s="84">
        <v>0.1667</v>
      </c>
      <c r="F74" s="76" t="s">
        <v>8</v>
      </c>
      <c r="G74" s="85">
        <f>+$B$15</f>
        <v>500</v>
      </c>
      <c r="H74" s="73">
        <f>IF(E74*G74,+E74*G74,"        ")</f>
        <v>83.35</v>
      </c>
      <c r="I74" s="73">
        <f>E74/B$10</f>
        <v>0.04762857142857142</v>
      </c>
      <c r="J74" s="49">
        <f>H74/H$122</f>
        <v>0.006385810130971932</v>
      </c>
      <c r="K74" s="4"/>
      <c r="L74" s="4"/>
      <c r="M74" s="4"/>
      <c r="N74" s="4"/>
      <c r="O74" s="4"/>
    </row>
    <row r="75" spans="1:10" s="4" customFormat="1" ht="15.75" customHeight="1">
      <c r="A75" s="74"/>
      <c r="B75" s="69"/>
      <c r="C75" s="78"/>
      <c r="D75" s="76"/>
      <c r="E75" s="87"/>
      <c r="F75" s="76"/>
      <c r="G75" s="73"/>
      <c r="H75" s="73"/>
      <c r="I75" s="73"/>
      <c r="J75" s="49"/>
    </row>
    <row r="76" spans="1:10" s="4" customFormat="1" ht="12.75">
      <c r="A76" s="74" t="s">
        <v>125</v>
      </c>
      <c r="B76" s="69"/>
      <c r="C76" s="69"/>
      <c r="D76" s="76"/>
      <c r="E76" s="70"/>
      <c r="F76" s="72"/>
      <c r="G76" s="70"/>
      <c r="H76" s="73"/>
      <c r="I76" s="48"/>
      <c r="J76" s="49"/>
    </row>
    <row r="77" spans="1:10" s="4" customFormat="1" ht="12.75">
      <c r="A77" s="74" t="s">
        <v>108</v>
      </c>
      <c r="B77" s="69"/>
      <c r="C77" s="69"/>
      <c r="D77" s="76" t="s">
        <v>17</v>
      </c>
      <c r="E77" s="71">
        <v>0.4966</v>
      </c>
      <c r="F77" s="76" t="s">
        <v>8</v>
      </c>
      <c r="G77" s="73">
        <f>+B15</f>
        <v>500</v>
      </c>
      <c r="H77" s="73">
        <f>IF(E77*G77,+E77*G77,"        ")</f>
        <v>248.29999999999998</v>
      </c>
      <c r="I77" s="48">
        <f>E77/B$10</f>
        <v>0.14188571428571428</v>
      </c>
      <c r="J77" s="49">
        <f>H77/H$122</f>
        <v>0.019023355195204927</v>
      </c>
    </row>
    <row r="78" spans="1:10" s="4" customFormat="1" ht="12.75">
      <c r="A78" s="74" t="s">
        <v>134</v>
      </c>
      <c r="B78" s="69"/>
      <c r="C78" s="69"/>
      <c r="D78" s="70"/>
      <c r="E78" s="87">
        <f>0.1*4</f>
        <v>0.4</v>
      </c>
      <c r="F78" s="76" t="s">
        <v>8</v>
      </c>
      <c r="G78" s="73">
        <f>+$B$15</f>
        <v>500</v>
      </c>
      <c r="H78" s="73">
        <f>IF(E78*G78,+E78*G78,"        ")</f>
        <v>200</v>
      </c>
      <c r="I78" s="48">
        <f>E78/B$10</f>
        <v>0.1142857142857143</v>
      </c>
      <c r="J78" s="49">
        <f>H78/H$122</f>
        <v>0.01532287973838496</v>
      </c>
    </row>
    <row r="79" spans="1:10" s="4" customFormat="1" ht="7.5" customHeight="1">
      <c r="A79" s="51"/>
      <c r="B79" s="69"/>
      <c r="C79" s="69"/>
      <c r="D79" s="70"/>
      <c r="E79" s="70"/>
      <c r="F79" s="72"/>
      <c r="G79" s="70"/>
      <c r="H79" s="70"/>
      <c r="I79" s="48"/>
      <c r="J79" s="49"/>
    </row>
    <row r="80" spans="1:10" s="4" customFormat="1" ht="12.75">
      <c r="A80" s="74" t="s">
        <v>126</v>
      </c>
      <c r="B80" s="69"/>
      <c r="C80" s="69"/>
      <c r="D80" s="76"/>
      <c r="E80" s="71"/>
      <c r="F80" s="72"/>
      <c r="G80" s="73"/>
      <c r="H80" s="73"/>
      <c r="I80" s="48"/>
      <c r="J80" s="49"/>
    </row>
    <row r="81" spans="1:10" s="4" customFormat="1" ht="12.75">
      <c r="A81" s="74" t="s">
        <v>75</v>
      </c>
      <c r="B81" s="69"/>
      <c r="C81" s="69"/>
      <c r="D81" s="76" t="s">
        <v>16</v>
      </c>
      <c r="E81" s="71">
        <v>0.1272</v>
      </c>
      <c r="F81" s="76" t="s">
        <v>8</v>
      </c>
      <c r="G81" s="73">
        <f>+$B$15</f>
        <v>500</v>
      </c>
      <c r="H81" s="73">
        <f>IF(E81*G81,+E81*G81,"        ")</f>
        <v>63.6</v>
      </c>
      <c r="I81" s="48">
        <f>E81/B$10</f>
        <v>0.03634285714285714</v>
      </c>
      <c r="J81" s="49">
        <f>H81/H$122</f>
        <v>0.004872675756806418</v>
      </c>
    </row>
    <row r="82" spans="1:10" s="4" customFormat="1" ht="12.75">
      <c r="A82" s="74" t="s">
        <v>135</v>
      </c>
      <c r="B82" s="69"/>
      <c r="C82" s="69"/>
      <c r="D82" s="70"/>
      <c r="E82" s="87">
        <f>0.1*4</f>
        <v>0.4</v>
      </c>
      <c r="F82" s="76" t="s">
        <v>8</v>
      </c>
      <c r="G82" s="73">
        <f>+$B$15</f>
        <v>500</v>
      </c>
      <c r="H82" s="73">
        <f>IF(E82*G82,+E82*G82,"        ")</f>
        <v>200</v>
      </c>
      <c r="I82" s="48">
        <f>E82/B$10</f>
        <v>0.1142857142857143</v>
      </c>
      <c r="J82" s="49">
        <f>H82/H$122</f>
        <v>0.01532287973838496</v>
      </c>
    </row>
    <row r="83" spans="1:10" s="4" customFormat="1" ht="9" customHeight="1">
      <c r="A83" s="51"/>
      <c r="B83" s="69"/>
      <c r="C83" s="69"/>
      <c r="D83" s="70"/>
      <c r="E83" s="70"/>
      <c r="F83" s="72"/>
      <c r="G83" s="70"/>
      <c r="H83" s="70"/>
      <c r="I83" s="48"/>
      <c r="J83" s="49"/>
    </row>
    <row r="84" spans="1:10" s="4" customFormat="1" ht="13.5" thickBot="1">
      <c r="A84" s="121" t="s">
        <v>128</v>
      </c>
      <c r="B84" s="79"/>
      <c r="C84" s="79"/>
      <c r="D84" s="59" t="s">
        <v>15</v>
      </c>
      <c r="E84" s="122">
        <v>0.15</v>
      </c>
      <c r="F84" s="59" t="s">
        <v>8</v>
      </c>
      <c r="G84" s="123">
        <f>+$B$15</f>
        <v>500</v>
      </c>
      <c r="H84" s="123">
        <f>IF(E84*G84,+E84*G84,"        ")</f>
        <v>75</v>
      </c>
      <c r="I84" s="52">
        <f>E84/B$10</f>
        <v>0.04285714285714286</v>
      </c>
      <c r="J84" s="53">
        <f>H84/H$122</f>
        <v>0.005746079901894361</v>
      </c>
    </row>
    <row r="85" spans="6:10" s="7" customFormat="1" ht="28.5" customHeight="1">
      <c r="F85" s="12"/>
      <c r="I85" s="14"/>
      <c r="J85" s="15"/>
    </row>
    <row r="86" spans="1:10" s="7" customFormat="1" ht="20.25" customHeight="1">
      <c r="A86" s="185" t="s">
        <v>88</v>
      </c>
      <c r="B86" s="185"/>
      <c r="C86" s="185"/>
      <c r="D86" s="185"/>
      <c r="E86" s="185"/>
      <c r="F86" s="185"/>
      <c r="G86" s="185"/>
      <c r="H86" s="185"/>
      <c r="I86" s="185"/>
      <c r="J86" s="185"/>
    </row>
    <row r="87" spans="1:10" s="4" customFormat="1" ht="3" customHeight="1">
      <c r="A87" s="69"/>
      <c r="B87" s="69"/>
      <c r="C87" s="69"/>
      <c r="D87" s="69"/>
      <c r="E87" s="69"/>
      <c r="F87" s="124"/>
      <c r="G87" s="69"/>
      <c r="H87" s="69"/>
      <c r="I87" s="125"/>
      <c r="J87" s="126"/>
    </row>
    <row r="88" spans="1:10" s="4" customFormat="1" ht="11.25" customHeight="1" thickBot="1">
      <c r="A88" s="69"/>
      <c r="B88" s="69"/>
      <c r="C88" s="69"/>
      <c r="D88" s="69"/>
      <c r="E88" s="69"/>
      <c r="F88" s="124"/>
      <c r="G88" s="69"/>
      <c r="H88" s="69"/>
      <c r="I88" s="125"/>
      <c r="J88" s="126"/>
    </row>
    <row r="89" spans="1:10" s="4" customFormat="1" ht="12.75">
      <c r="A89" s="127" t="s">
        <v>130</v>
      </c>
      <c r="B89" s="82"/>
      <c r="C89" s="82"/>
      <c r="D89" s="128"/>
      <c r="E89" s="86"/>
      <c r="F89" s="83"/>
      <c r="G89" s="86"/>
      <c r="H89" s="66"/>
      <c r="I89" s="54"/>
      <c r="J89" s="55"/>
    </row>
    <row r="90" spans="1:10" s="4" customFormat="1" ht="12.75">
      <c r="A90" s="74" t="s">
        <v>108</v>
      </c>
      <c r="B90" s="69"/>
      <c r="C90" s="69"/>
      <c r="D90" s="76"/>
      <c r="E90" s="71">
        <v>0.4966</v>
      </c>
      <c r="F90" s="76" t="s">
        <v>8</v>
      </c>
      <c r="G90" s="73">
        <f>+B15</f>
        <v>500</v>
      </c>
      <c r="H90" s="73">
        <f>IF(E90*G90,+E90*G90,"        ")</f>
        <v>248.29999999999998</v>
      </c>
      <c r="I90" s="48">
        <f>E90/B$10</f>
        <v>0.14188571428571428</v>
      </c>
      <c r="J90" s="49">
        <f>H90/H$122</f>
        <v>0.019023355195204927</v>
      </c>
    </row>
    <row r="91" spans="1:11" s="92" customFormat="1" ht="12.75">
      <c r="A91" s="74" t="s">
        <v>148</v>
      </c>
      <c r="B91" s="69"/>
      <c r="C91" s="69"/>
      <c r="D91" s="70"/>
      <c r="E91" s="84">
        <v>0.1667</v>
      </c>
      <c r="F91" s="76" t="s">
        <v>8</v>
      </c>
      <c r="G91" s="85">
        <f>+$B$15</f>
        <v>500</v>
      </c>
      <c r="H91" s="73">
        <f>IF(E91*G91,+E91*G91,"        ")</f>
        <v>83.35</v>
      </c>
      <c r="I91" s="90">
        <f>E91/B$10</f>
        <v>0.04762857142857142</v>
      </c>
      <c r="J91" s="49">
        <f>H91/H$110</f>
        <v>0.20837499999999998</v>
      </c>
      <c r="K91" s="4"/>
    </row>
    <row r="92" spans="1:10" s="4" customFormat="1" ht="12.75">
      <c r="A92" s="74" t="s">
        <v>136</v>
      </c>
      <c r="B92" s="69"/>
      <c r="C92" s="69"/>
      <c r="D92" s="70"/>
      <c r="E92" s="87">
        <f>0.1*4</f>
        <v>0.4</v>
      </c>
      <c r="F92" s="76" t="s">
        <v>8</v>
      </c>
      <c r="G92" s="73">
        <f>+$B$15</f>
        <v>500</v>
      </c>
      <c r="H92" s="73">
        <f>IF(E92*G92,+E92*G92,"        ")</f>
        <v>200</v>
      </c>
      <c r="I92" s="48">
        <f>E92/B$10</f>
        <v>0.1142857142857143</v>
      </c>
      <c r="J92" s="49">
        <f>H92/H$122</f>
        <v>0.01532287973838496</v>
      </c>
    </row>
    <row r="93" spans="1:10" s="4" customFormat="1" ht="12.75">
      <c r="A93" s="74"/>
      <c r="B93" s="69"/>
      <c r="C93" s="69"/>
      <c r="D93" s="70"/>
      <c r="E93" s="87"/>
      <c r="F93" s="76"/>
      <c r="G93" s="73"/>
      <c r="H93" s="73"/>
      <c r="I93" s="48"/>
      <c r="J93" s="49"/>
    </row>
    <row r="94" spans="1:10" s="4" customFormat="1" ht="12.75">
      <c r="A94" s="74" t="s">
        <v>137</v>
      </c>
      <c r="B94" s="69"/>
      <c r="C94" s="69"/>
      <c r="D94" s="76"/>
      <c r="E94" s="71"/>
      <c r="F94" s="76"/>
      <c r="G94" s="73"/>
      <c r="H94" s="73"/>
      <c r="I94" s="48"/>
      <c r="J94" s="49"/>
    </row>
    <row r="95" spans="1:10" s="4" customFormat="1" ht="12.75">
      <c r="A95" s="74" t="s">
        <v>75</v>
      </c>
      <c r="B95" s="69"/>
      <c r="C95" s="69"/>
      <c r="D95" s="76" t="s">
        <v>14</v>
      </c>
      <c r="E95" s="71">
        <v>0.1272</v>
      </c>
      <c r="F95" s="76" t="s">
        <v>8</v>
      </c>
      <c r="G95" s="73">
        <f>+$B$15</f>
        <v>500</v>
      </c>
      <c r="H95" s="73">
        <f>IF(E95*G95,+E95*G95,"        ")</f>
        <v>63.6</v>
      </c>
      <c r="I95" s="48">
        <f>E95/B$10</f>
        <v>0.03634285714285714</v>
      </c>
      <c r="J95" s="49">
        <f>H95/H$122</f>
        <v>0.004872675756806418</v>
      </c>
    </row>
    <row r="96" spans="1:10" s="4" customFormat="1" ht="12.75">
      <c r="A96" s="74" t="s">
        <v>138</v>
      </c>
      <c r="B96" s="69"/>
      <c r="C96" s="69"/>
      <c r="D96" s="70"/>
      <c r="E96" s="87">
        <f>0.1*4</f>
        <v>0.4</v>
      </c>
      <c r="F96" s="76" t="s">
        <v>8</v>
      </c>
      <c r="G96" s="73">
        <f>+$B$15</f>
        <v>500</v>
      </c>
      <c r="H96" s="73">
        <f>IF(E96*G96,+E96*G96,"        ")</f>
        <v>200</v>
      </c>
      <c r="I96" s="48">
        <f>E96/B$10</f>
        <v>0.1142857142857143</v>
      </c>
      <c r="J96" s="49">
        <f>H96/H$122</f>
        <v>0.01532287973838496</v>
      </c>
    </row>
    <row r="97" spans="1:10" s="4" customFormat="1" ht="12.75">
      <c r="A97" s="74"/>
      <c r="B97" s="69"/>
      <c r="C97" s="69"/>
      <c r="D97" s="70"/>
      <c r="E97" s="87"/>
      <c r="F97" s="76"/>
      <c r="G97" s="73"/>
      <c r="H97" s="73"/>
      <c r="I97" s="48"/>
      <c r="J97" s="49"/>
    </row>
    <row r="98" spans="1:10" s="88" customFormat="1" ht="25.5" customHeight="1">
      <c r="A98" s="186" t="s">
        <v>147</v>
      </c>
      <c r="B98" s="187"/>
      <c r="C98" s="188"/>
      <c r="D98" s="76" t="s">
        <v>13</v>
      </c>
      <c r="E98" s="71">
        <f>1*2</f>
        <v>2</v>
      </c>
      <c r="F98" s="76" t="s">
        <v>8</v>
      </c>
      <c r="G98" s="73">
        <v>200</v>
      </c>
      <c r="H98" s="73">
        <f>IF(E98*G98,+E98*G98,"        ")</f>
        <v>400</v>
      </c>
      <c r="I98" s="48">
        <v>0.2857142857142857</v>
      </c>
      <c r="J98" s="49">
        <f>H98/H$99</f>
        <v>5.333333333333333</v>
      </c>
    </row>
    <row r="99" spans="1:10" s="88" customFormat="1" ht="12.75">
      <c r="A99" s="74" t="s">
        <v>129</v>
      </c>
      <c r="B99" s="69"/>
      <c r="C99" s="69"/>
      <c r="D99" s="70"/>
      <c r="E99" s="71">
        <v>0.15</v>
      </c>
      <c r="F99" s="76" t="s">
        <v>8</v>
      </c>
      <c r="G99" s="73">
        <f>+$B$15</f>
        <v>500</v>
      </c>
      <c r="H99" s="73">
        <f>IF(E99*G99,+E99*G99,"        ")</f>
        <v>75</v>
      </c>
      <c r="I99" s="48">
        <f>E99/B$10</f>
        <v>0.04285714285714286</v>
      </c>
      <c r="J99" s="49">
        <f>H99/H$122</f>
        <v>0.005746079901894361</v>
      </c>
    </row>
    <row r="100" spans="1:10" s="88" customFormat="1" ht="12.75">
      <c r="A100" s="74" t="s">
        <v>139</v>
      </c>
      <c r="B100" s="69"/>
      <c r="C100" s="69"/>
      <c r="D100" s="70"/>
      <c r="E100" s="87">
        <f>0.1*4</f>
        <v>0.4</v>
      </c>
      <c r="F100" s="76" t="s">
        <v>8</v>
      </c>
      <c r="G100" s="73">
        <f>+$B$15</f>
        <v>500</v>
      </c>
      <c r="H100" s="73">
        <f>IF(E100*G100,+E100*G100,"        ")</f>
        <v>200</v>
      </c>
      <c r="I100" s="48">
        <f>E100/B$10</f>
        <v>0.1142857142857143</v>
      </c>
      <c r="J100" s="49">
        <f>H100/H$122</f>
        <v>0.01532287973838496</v>
      </c>
    </row>
    <row r="101" spans="1:10" s="88" customFormat="1" ht="15.75" customHeight="1">
      <c r="A101" s="51"/>
      <c r="B101" s="69"/>
      <c r="C101" s="69"/>
      <c r="D101" s="70"/>
      <c r="E101" s="70"/>
      <c r="F101" s="72"/>
      <c r="G101" s="70"/>
      <c r="H101" s="70"/>
      <c r="I101" s="48"/>
      <c r="J101" s="49"/>
    </row>
    <row r="102" spans="1:10" s="93" customFormat="1" ht="27.75" customHeight="1">
      <c r="A102" s="186" t="s">
        <v>146</v>
      </c>
      <c r="B102" s="187"/>
      <c r="C102" s="188"/>
      <c r="D102" s="76" t="s">
        <v>12</v>
      </c>
      <c r="E102" s="71">
        <f>1*2</f>
        <v>2</v>
      </c>
      <c r="F102" s="76" t="s">
        <v>8</v>
      </c>
      <c r="G102" s="73">
        <v>200</v>
      </c>
      <c r="H102" s="73">
        <f>IF(E102*G102,+E102*G102,"        ")</f>
        <v>400</v>
      </c>
      <c r="I102" s="48">
        <v>0.2857142857142857</v>
      </c>
      <c r="J102" s="49">
        <f>H102/H$99</f>
        <v>5.333333333333333</v>
      </c>
    </row>
    <row r="103" spans="1:10" s="88" customFormat="1" ht="12.75">
      <c r="A103" s="74" t="s">
        <v>140</v>
      </c>
      <c r="B103" s="69"/>
      <c r="C103" s="69"/>
      <c r="D103" s="70"/>
      <c r="E103" s="71">
        <v>0.15</v>
      </c>
      <c r="F103" s="76" t="s">
        <v>8</v>
      </c>
      <c r="G103" s="73">
        <f>+$B$15</f>
        <v>500</v>
      </c>
      <c r="H103" s="73">
        <f>IF(E103*G103,+E103*G103,"        ")</f>
        <v>75</v>
      </c>
      <c r="I103" s="48">
        <f>E103/B$10</f>
        <v>0.04285714285714286</v>
      </c>
      <c r="J103" s="49">
        <f>H103/H$122</f>
        <v>0.005746079901894361</v>
      </c>
    </row>
    <row r="104" spans="1:10" s="88" customFormat="1" ht="12.75">
      <c r="A104" s="74" t="s">
        <v>142</v>
      </c>
      <c r="B104" s="69"/>
      <c r="C104" s="69"/>
      <c r="D104" s="70"/>
      <c r="E104" s="87">
        <f>0.1*4</f>
        <v>0.4</v>
      </c>
      <c r="F104" s="76" t="s">
        <v>8</v>
      </c>
      <c r="G104" s="73">
        <f>+$B$15</f>
        <v>500</v>
      </c>
      <c r="H104" s="73">
        <f>IF(E104*G104,+E104*G104,"        ")</f>
        <v>200</v>
      </c>
      <c r="I104" s="48">
        <f>E104/B$10</f>
        <v>0.1142857142857143</v>
      </c>
      <c r="J104" s="49">
        <f>H104/H$122</f>
        <v>0.01532287973838496</v>
      </c>
    </row>
    <row r="105" spans="1:11" s="92" customFormat="1" ht="12.75">
      <c r="A105" s="74" t="s">
        <v>149</v>
      </c>
      <c r="B105" s="69"/>
      <c r="C105" s="69"/>
      <c r="D105" s="70"/>
      <c r="E105" s="84">
        <v>0.1667</v>
      </c>
      <c r="F105" s="76" t="s">
        <v>8</v>
      </c>
      <c r="G105" s="85">
        <f>+$B$15</f>
        <v>500</v>
      </c>
      <c r="H105" s="73">
        <f>IF(E105*G105,+E105*G105,"        ")</f>
        <v>83.35</v>
      </c>
      <c r="I105" s="90">
        <f>E105/B$10</f>
        <v>0.04762857142857142</v>
      </c>
      <c r="J105" s="49">
        <f>H105/H$122</f>
        <v>0.006385810130971932</v>
      </c>
      <c r="K105" s="4"/>
    </row>
    <row r="106" spans="1:10" s="88" customFormat="1" ht="12.75">
      <c r="A106" s="74"/>
      <c r="B106" s="69"/>
      <c r="C106" s="69"/>
      <c r="D106" s="70"/>
      <c r="E106" s="87"/>
      <c r="F106" s="76"/>
      <c r="G106" s="73"/>
      <c r="H106" s="73"/>
      <c r="I106" s="48"/>
      <c r="J106" s="49"/>
    </row>
    <row r="107" spans="1:10" s="93" customFormat="1" ht="24.75" customHeight="1">
      <c r="A107" s="186" t="s">
        <v>145</v>
      </c>
      <c r="B107" s="187"/>
      <c r="C107" s="188"/>
      <c r="D107" s="76" t="s">
        <v>11</v>
      </c>
      <c r="E107" s="71">
        <f>1*2</f>
        <v>2</v>
      </c>
      <c r="F107" s="76" t="s">
        <v>8</v>
      </c>
      <c r="G107" s="73">
        <v>200</v>
      </c>
      <c r="H107" s="73">
        <f>IF(E107*G107,+E107*G107,"        ")</f>
        <v>400</v>
      </c>
      <c r="I107" s="48">
        <v>0.2857142857142857</v>
      </c>
      <c r="J107" s="49">
        <f>H107/H$99</f>
        <v>5.333333333333333</v>
      </c>
    </row>
    <row r="108" spans="1:10" s="88" customFormat="1" ht="12.75">
      <c r="A108" s="74" t="s">
        <v>131</v>
      </c>
      <c r="B108" s="69"/>
      <c r="C108" s="69"/>
      <c r="D108" s="70"/>
      <c r="E108" s="71">
        <v>0.30000000000000004</v>
      </c>
      <c r="F108" s="76" t="s">
        <v>8</v>
      </c>
      <c r="G108" s="73">
        <f>+B15</f>
        <v>500</v>
      </c>
      <c r="H108" s="73">
        <v>105.00000000000001</v>
      </c>
      <c r="I108" s="48">
        <v>0.08571428571428573</v>
      </c>
      <c r="J108" s="49">
        <f>H108/H$122</f>
        <v>0.008044511862652105</v>
      </c>
    </row>
    <row r="109" spans="1:10" s="88" customFormat="1" ht="9.75" customHeight="1">
      <c r="A109" s="74"/>
      <c r="B109" s="69"/>
      <c r="C109" s="69"/>
      <c r="D109" s="70"/>
      <c r="E109" s="71"/>
      <c r="F109" s="76"/>
      <c r="G109" s="73"/>
      <c r="H109" s="73"/>
      <c r="I109" s="48"/>
      <c r="J109" s="49"/>
    </row>
    <row r="110" spans="1:14" s="93" customFormat="1" ht="33" customHeight="1">
      <c r="A110" s="186" t="s">
        <v>144</v>
      </c>
      <c r="B110" s="187"/>
      <c r="C110" s="188"/>
      <c r="D110" s="76" t="s">
        <v>10</v>
      </c>
      <c r="E110" s="71">
        <f>1*2</f>
        <v>2</v>
      </c>
      <c r="F110" s="76" t="s">
        <v>8</v>
      </c>
      <c r="G110" s="73">
        <v>200</v>
      </c>
      <c r="H110" s="73">
        <f>IF(E110*G110,+E110*G110,"        ")</f>
        <v>400</v>
      </c>
      <c r="I110" s="48">
        <v>0.2857142857142857</v>
      </c>
      <c r="J110" s="49">
        <f>H110/H$99</f>
        <v>5.333333333333333</v>
      </c>
      <c r="M110" s="94"/>
      <c r="N110" s="95"/>
    </row>
    <row r="111" spans="1:10" s="88" customFormat="1" ht="12.75">
      <c r="A111" s="74" t="s">
        <v>141</v>
      </c>
      <c r="B111" s="69"/>
      <c r="C111" s="69"/>
      <c r="D111" s="70"/>
      <c r="E111" s="71">
        <v>0.30000000000000004</v>
      </c>
      <c r="F111" s="76" t="s">
        <v>8</v>
      </c>
      <c r="G111" s="73">
        <f>+B15</f>
        <v>500</v>
      </c>
      <c r="H111" s="73">
        <v>105.00000000000001</v>
      </c>
      <c r="I111" s="48">
        <v>0.08571428571428573</v>
      </c>
      <c r="J111" s="49">
        <f>H111/H$122</f>
        <v>0.008044511862652105</v>
      </c>
    </row>
    <row r="112" spans="1:10" s="88" customFormat="1" ht="9" customHeight="1">
      <c r="A112" s="51"/>
      <c r="B112" s="69"/>
      <c r="C112" s="69"/>
      <c r="D112" s="70"/>
      <c r="E112" s="70"/>
      <c r="F112" s="72"/>
      <c r="G112" s="70"/>
      <c r="H112" s="70"/>
      <c r="I112" s="48"/>
      <c r="J112" s="49"/>
    </row>
    <row r="113" spans="1:10" s="93" customFormat="1" ht="24.75" customHeight="1">
      <c r="A113" s="186" t="s">
        <v>143</v>
      </c>
      <c r="B113" s="187"/>
      <c r="C113" s="188"/>
      <c r="D113" s="76" t="s">
        <v>9</v>
      </c>
      <c r="E113" s="71">
        <f>1*2</f>
        <v>2</v>
      </c>
      <c r="F113" s="76" t="s">
        <v>8</v>
      </c>
      <c r="G113" s="73">
        <v>200</v>
      </c>
      <c r="H113" s="73">
        <f>IF(E113*G113,+E113*G113,"        ")</f>
        <v>400</v>
      </c>
      <c r="I113" s="48">
        <v>0.2857142857142857</v>
      </c>
      <c r="J113" s="49">
        <f>H113/H$99</f>
        <v>5.333333333333333</v>
      </c>
    </row>
    <row r="114" spans="1:10" s="4" customFormat="1" ht="3.75" customHeight="1" thickBot="1">
      <c r="A114" s="56"/>
      <c r="B114" s="57"/>
      <c r="C114" s="57"/>
      <c r="D114" s="58"/>
      <c r="E114" s="58"/>
      <c r="F114" s="59"/>
      <c r="G114" s="58"/>
      <c r="H114" s="58"/>
      <c r="I114" s="80"/>
      <c r="J114" s="53">
        <f>H114/H$122</f>
        <v>0</v>
      </c>
    </row>
    <row r="115" spans="1:10" s="7" customFormat="1" ht="12.75">
      <c r="A115" s="99"/>
      <c r="B115" s="99"/>
      <c r="C115" s="99"/>
      <c r="D115" s="99"/>
      <c r="E115" s="99"/>
      <c r="F115" s="100"/>
      <c r="G115" s="99"/>
      <c r="H115" s="99"/>
      <c r="I115" s="97"/>
      <c r="J115" s="101"/>
    </row>
    <row r="116" spans="1:10" s="7" customFormat="1" ht="12.75">
      <c r="A116" s="99"/>
      <c r="B116" s="99"/>
      <c r="C116" s="99"/>
      <c r="D116" s="99"/>
      <c r="E116" s="99"/>
      <c r="F116" s="100"/>
      <c r="G116" s="99"/>
      <c r="H116" s="99"/>
      <c r="I116" s="97"/>
      <c r="J116" s="101"/>
    </row>
    <row r="117" spans="1:10" s="7" customFormat="1" ht="13.5" thickBot="1">
      <c r="A117" s="189" t="s">
        <v>89</v>
      </c>
      <c r="B117" s="189"/>
      <c r="C117" s="189"/>
      <c r="D117" s="189"/>
      <c r="E117" s="189"/>
      <c r="F117" s="189"/>
      <c r="G117" s="189"/>
      <c r="H117" s="189"/>
      <c r="I117" s="97"/>
      <c r="J117" s="101"/>
    </row>
    <row r="118" spans="1:11" s="4" customFormat="1" ht="24" customHeight="1">
      <c r="A118" s="102" t="s">
        <v>7</v>
      </c>
      <c r="B118" s="103"/>
      <c r="C118" s="104"/>
      <c r="D118" s="105"/>
      <c r="E118" s="106"/>
      <c r="F118" s="103"/>
      <c r="G118" s="107"/>
      <c r="H118" s="108">
        <f>SUM(H22:H113)</f>
        <v>11633.134402474792</v>
      </c>
      <c r="I118" s="68"/>
      <c r="J118" s="139"/>
      <c r="K118" s="137"/>
    </row>
    <row r="119" spans="1:11" s="4" customFormat="1" ht="12.75">
      <c r="A119" s="96" t="s">
        <v>6</v>
      </c>
      <c r="B119" s="97"/>
      <c r="C119" s="99"/>
      <c r="D119" s="99"/>
      <c r="E119" s="99"/>
      <c r="F119" s="99"/>
      <c r="G119" s="98"/>
      <c r="H119" s="109">
        <f>(H118*0.02)</f>
        <v>232.66268804949584</v>
      </c>
      <c r="I119" s="68"/>
      <c r="J119" s="139"/>
      <c r="K119" s="137"/>
    </row>
    <row r="120" spans="1:11" s="4" customFormat="1" ht="12.75">
      <c r="A120" s="96" t="s">
        <v>5</v>
      </c>
      <c r="B120" s="97"/>
      <c r="C120" s="99"/>
      <c r="D120" s="99"/>
      <c r="E120" s="99"/>
      <c r="F120" s="99"/>
      <c r="G120" s="97"/>
      <c r="H120" s="109">
        <v>0</v>
      </c>
      <c r="I120" s="68"/>
      <c r="J120" s="140"/>
      <c r="K120" s="137"/>
    </row>
    <row r="121" spans="1:12" s="4" customFormat="1" ht="12.75">
      <c r="A121" s="96" t="s">
        <v>132</v>
      </c>
      <c r="B121" s="97"/>
      <c r="C121" s="97"/>
      <c r="D121" s="97"/>
      <c r="E121" s="97"/>
      <c r="F121" s="97"/>
      <c r="G121" s="97"/>
      <c r="H121" s="110">
        <f>SUM(H118:H120)*0.1</f>
        <v>1186.5797090524288</v>
      </c>
      <c r="I121" s="63">
        <f>+H119+H120+H121</f>
        <v>1419.2423971019248</v>
      </c>
      <c r="J121" s="140"/>
      <c r="K121" s="114"/>
      <c r="L121" s="16"/>
    </row>
    <row r="122" spans="1:11" s="4" customFormat="1" ht="13.5" thickBot="1">
      <c r="A122" s="155" t="s">
        <v>4</v>
      </c>
      <c r="B122" s="156"/>
      <c r="C122" s="156"/>
      <c r="D122" s="156"/>
      <c r="E122" s="156"/>
      <c r="F122" s="156"/>
      <c r="G122" s="157"/>
      <c r="H122" s="158">
        <f>SUM(H118:H121)</f>
        <v>13052.376799576716</v>
      </c>
      <c r="I122" s="68"/>
      <c r="J122" s="115"/>
      <c r="K122" s="114"/>
    </row>
    <row r="123" spans="1:11" s="4" customFormat="1" ht="12.75">
      <c r="A123" s="111"/>
      <c r="B123" s="112"/>
      <c r="C123" s="112"/>
      <c r="D123" s="112"/>
      <c r="E123" s="112"/>
      <c r="F123" s="112"/>
      <c r="G123" s="112"/>
      <c r="H123" s="113"/>
      <c r="I123" s="62"/>
      <c r="J123" s="115">
        <v>0.006666666666666666</v>
      </c>
      <c r="K123" s="116">
        <f>+C125+G125+G124+I121</f>
        <v>13052.376799576718</v>
      </c>
    </row>
    <row r="124" spans="1:11" s="4" customFormat="1" ht="21" customHeight="1">
      <c r="A124" s="159" t="s">
        <v>3</v>
      </c>
      <c r="B124" s="160"/>
      <c r="C124" s="161">
        <v>0</v>
      </c>
      <c r="D124" s="162">
        <f>(C124/H118)</f>
        <v>0</v>
      </c>
      <c r="E124" s="163" t="s">
        <v>2</v>
      </c>
      <c r="F124" s="160"/>
      <c r="G124" s="161">
        <f>SUM(H43:H113)</f>
        <v>7381.455000000001</v>
      </c>
      <c r="H124" s="164">
        <f>(G124/H122)</f>
        <v>0.5655257362965018</v>
      </c>
      <c r="I124" s="62"/>
      <c r="J124" s="115">
        <f>+J123*15</f>
        <v>0.09999999999999999</v>
      </c>
      <c r="K124" s="138"/>
    </row>
    <row r="125" spans="1:11" s="4" customFormat="1" ht="15.75" customHeight="1">
      <c r="A125" s="165" t="s">
        <v>1</v>
      </c>
      <c r="B125" s="166"/>
      <c r="C125" s="167">
        <f>SUM(H36:H42)</f>
        <v>1870</v>
      </c>
      <c r="D125" s="168">
        <f>(C125/H122)</f>
        <v>0.1432689255538994</v>
      </c>
      <c r="E125" s="169" t="s">
        <v>0</v>
      </c>
      <c r="F125" s="166"/>
      <c r="G125" s="167">
        <f>SUM(H22:H33)</f>
        <v>2381.679402474791</v>
      </c>
      <c r="H125" s="170">
        <f>(G125/H122)</f>
        <v>0.18247093529754888</v>
      </c>
      <c r="I125" s="62"/>
      <c r="J125" s="115"/>
      <c r="K125" s="114"/>
    </row>
    <row r="126" spans="1:10" s="4" customFormat="1" ht="7.5" customHeight="1">
      <c r="A126" s="171"/>
      <c r="B126" s="172"/>
      <c r="C126" s="172"/>
      <c r="D126" s="173"/>
      <c r="E126" s="171"/>
      <c r="F126" s="172"/>
      <c r="G126" s="172"/>
      <c r="H126" s="172"/>
      <c r="I126" s="17"/>
      <c r="J126" s="17"/>
    </row>
    <row r="127" spans="1:10" ht="13.5">
      <c r="A127" s="17" t="s">
        <v>81</v>
      </c>
      <c r="B127" s="17"/>
      <c r="C127" s="17"/>
      <c r="D127" s="17"/>
      <c r="E127" s="18"/>
      <c r="F127" s="19"/>
      <c r="G127" s="20"/>
      <c r="H127" s="21"/>
      <c r="I127" s="22"/>
      <c r="J127" s="23"/>
    </row>
    <row r="128" spans="1:10" ht="38.25" customHeight="1">
      <c r="A128" s="190" t="s">
        <v>153</v>
      </c>
      <c r="B128" s="190"/>
      <c r="C128" s="190"/>
      <c r="D128" s="190"/>
      <c r="E128" s="190"/>
      <c r="F128" s="190"/>
      <c r="G128" s="190"/>
      <c r="H128" s="190"/>
      <c r="I128" s="190"/>
      <c r="J128" s="190"/>
    </row>
    <row r="129" spans="1:10" s="2" customFormat="1" ht="15.75" customHeight="1">
      <c r="A129" s="191" t="s">
        <v>80</v>
      </c>
      <c r="B129" s="191"/>
      <c r="C129" s="191"/>
      <c r="D129" s="191"/>
      <c r="E129" s="191"/>
      <c r="F129" s="191"/>
      <c r="G129" s="191"/>
      <c r="H129" s="191"/>
      <c r="I129" s="191"/>
      <c r="J129" s="191"/>
    </row>
    <row r="130" spans="1:10" s="2" customFormat="1" ht="17.25" customHeight="1">
      <c r="A130" s="192" t="s">
        <v>78</v>
      </c>
      <c r="B130" s="192"/>
      <c r="C130" s="192"/>
      <c r="D130" s="192"/>
      <c r="E130" s="192"/>
      <c r="F130" s="192"/>
      <c r="G130" s="192"/>
      <c r="H130" s="192"/>
      <c r="I130" s="192"/>
      <c r="J130" s="192"/>
    </row>
    <row r="131" spans="1:10" s="2" customFormat="1" ht="12.75" customHeight="1">
      <c r="A131" s="17" t="s">
        <v>79</v>
      </c>
      <c r="B131" s="17"/>
      <c r="C131" s="24"/>
      <c r="D131" s="25"/>
      <c r="E131" s="17"/>
      <c r="F131" s="17"/>
      <c r="G131" s="24"/>
      <c r="H131" s="25"/>
      <c r="I131" s="26"/>
      <c r="J131" s="17"/>
    </row>
    <row r="132" spans="1:10" s="2" customFormat="1" ht="12.75" customHeight="1">
      <c r="A132" s="17" t="s">
        <v>83</v>
      </c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s="2" customFormat="1" ht="13.5">
      <c r="A133" s="17" t="s">
        <v>82</v>
      </c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1" s="4" customFormat="1" ht="12.75">
      <c r="A134" s="68"/>
      <c r="B134" s="68"/>
      <c r="C134" s="68"/>
      <c r="D134" s="68"/>
      <c r="E134" s="68"/>
      <c r="F134" s="68"/>
      <c r="G134" s="27"/>
      <c r="H134" s="68"/>
      <c r="I134" s="68"/>
      <c r="J134" s="68"/>
      <c r="K134" s="6"/>
    </row>
    <row r="135" spans="1:10" ht="13.5">
      <c r="A135" s="17"/>
      <c r="B135" s="17"/>
      <c r="C135" s="17"/>
      <c r="D135" s="17"/>
      <c r="E135" s="17"/>
      <c r="F135" s="17"/>
      <c r="G135" s="17"/>
      <c r="H135" s="17"/>
      <c r="I135" s="22"/>
      <c r="J135" s="23"/>
    </row>
    <row r="136" spans="1:10" ht="12.75">
      <c r="A136" s="22"/>
      <c r="B136" s="22"/>
      <c r="C136" s="22"/>
      <c r="D136" s="22"/>
      <c r="E136" s="22"/>
      <c r="F136" s="22"/>
      <c r="G136" s="22"/>
      <c r="H136" s="22"/>
      <c r="I136" s="22"/>
      <c r="J136" s="23"/>
    </row>
    <row r="137" spans="1:10" s="2" customFormat="1" ht="15.75" customHeight="1">
      <c r="A137" s="193"/>
      <c r="B137" s="193"/>
      <c r="C137" s="193"/>
      <c r="D137" s="193"/>
      <c r="E137" s="193"/>
      <c r="F137" s="193"/>
      <c r="G137" s="193"/>
      <c r="H137" s="193"/>
      <c r="I137" s="193"/>
      <c r="J137" s="193"/>
    </row>
    <row r="140" spans="1:10" ht="13.5">
      <c r="A140" s="194" t="s">
        <v>150</v>
      </c>
      <c r="B140" s="194"/>
      <c r="C140" s="194"/>
      <c r="D140" s="194"/>
      <c r="E140" s="194"/>
      <c r="F140" s="194"/>
      <c r="G140" s="194"/>
      <c r="H140" s="194"/>
      <c r="I140" s="194"/>
      <c r="J140" s="194"/>
    </row>
    <row r="142" ht="6.75" customHeight="1"/>
  </sheetData>
  <sheetProtection/>
  <mergeCells count="19">
    <mergeCell ref="A117:H117"/>
    <mergeCell ref="A128:J128"/>
    <mergeCell ref="A129:J129"/>
    <mergeCell ref="A130:J130"/>
    <mergeCell ref="A137:J137"/>
    <mergeCell ref="A140:J140"/>
    <mergeCell ref="A98:C98"/>
    <mergeCell ref="A102:C102"/>
    <mergeCell ref="A107:C107"/>
    <mergeCell ref="A110:C110"/>
    <mergeCell ref="A113:C113"/>
    <mergeCell ref="A86:J86"/>
    <mergeCell ref="A1:J1"/>
    <mergeCell ref="A17:H17"/>
    <mergeCell ref="I17:I20"/>
    <mergeCell ref="J17:J20"/>
    <mergeCell ref="A46:C46"/>
    <mergeCell ref="A60:J60"/>
    <mergeCell ref="A59:J59"/>
  </mergeCells>
  <printOptions/>
  <pageMargins left="0.6692913385826772" right="0.2362204724409449" top="0.75" bottom="0.43" header="0.15748031496062992" footer="0"/>
  <pageSetup horizontalDpi="300" verticalDpi="300" orientation="portrait" scale="90" r:id="rId1"/>
  <rowBreaks count="3" manualBreakCount="3">
    <brk id="60" max="9" man="1"/>
    <brk id="86" max="9" man="1"/>
    <brk id="1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Karisovic</cp:lastModifiedBy>
  <cp:lastPrinted>2017-04-25T15:26:36Z</cp:lastPrinted>
  <dcterms:created xsi:type="dcterms:W3CDTF">1999-01-27T15:42:27Z</dcterms:created>
  <dcterms:modified xsi:type="dcterms:W3CDTF">2019-09-04T16:35:43Z</dcterms:modified>
  <cp:category/>
  <cp:version/>
  <cp:contentType/>
  <cp:contentStatus/>
</cp:coreProperties>
</file>