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'Hoja1'!$A$1:$K$47</definedName>
  </definedNames>
  <calcPr fullCalcOnLoad="1"/>
</workbook>
</file>

<file path=xl/sharedStrings.xml><?xml version="1.0" encoding="utf-8"?>
<sst xmlns="http://schemas.openxmlformats.org/spreadsheetml/2006/main" count="103" uniqueCount="58">
  <si>
    <t xml:space="preserve">Valor </t>
  </si>
  <si>
    <t>1er. Año</t>
  </si>
  <si>
    <t>2do. Año</t>
  </si>
  <si>
    <t>3er. Año</t>
  </si>
  <si>
    <t>4-10 Año</t>
  </si>
  <si>
    <t>Costo</t>
  </si>
  <si>
    <t>Actividad</t>
  </si>
  <si>
    <t>Cantidad</t>
  </si>
  <si>
    <t>Unidad</t>
  </si>
  <si>
    <t>Unitario</t>
  </si>
  <si>
    <t>Total</t>
  </si>
  <si>
    <t>1- INSUMOS</t>
  </si>
  <si>
    <t xml:space="preserve">   .1 Compra de Plantas de Siembra</t>
  </si>
  <si>
    <t>Planta</t>
  </si>
  <si>
    <t>-</t>
  </si>
  <si>
    <t xml:space="preserve">   .2 Compra de Plantas de Sombra</t>
  </si>
  <si>
    <t xml:space="preserve">   .3 Compra de Fertilizante </t>
  </si>
  <si>
    <t>Quintal</t>
  </si>
  <si>
    <t>Kilo</t>
  </si>
  <si>
    <t>Tarea</t>
  </si>
  <si>
    <t>2-  MANO DE OBRA</t>
  </si>
  <si>
    <t xml:space="preserve">   .1  Tumba de Arbustos</t>
  </si>
  <si>
    <t>Hom-Día</t>
  </si>
  <si>
    <t xml:space="preserve">   .2  Limpieza del Terreno</t>
  </si>
  <si>
    <t xml:space="preserve">   .3  Trazado a Curva de Nivel</t>
  </si>
  <si>
    <t xml:space="preserve">   .4  Constr. Manten. Zanjas de Contornos</t>
  </si>
  <si>
    <t xml:space="preserve">       (Barreras Vivas)</t>
  </si>
  <si>
    <t xml:space="preserve">   .5  Siembra Planta de Sombra</t>
  </si>
  <si>
    <t xml:space="preserve">   .6  Siembra Plantas Café</t>
  </si>
  <si>
    <t xml:space="preserve">   .7  Desyerbo</t>
  </si>
  <si>
    <t xml:space="preserve">   .8  Aplicación Fertilizantes</t>
  </si>
  <si>
    <t xml:space="preserve">   .9  Aplicación Pesticidas</t>
  </si>
  <si>
    <t xml:space="preserve">   .10 Resiembra</t>
  </si>
  <si>
    <t xml:space="preserve">   .11 Poda y Deshijes</t>
  </si>
  <si>
    <t xml:space="preserve">   .12 Cosecha</t>
  </si>
  <si>
    <t xml:space="preserve">  SUBTOTAL</t>
  </si>
  <si>
    <t xml:space="preserve">  GASTOS ADMINISTRATIVOS (2%)</t>
  </si>
  <si>
    <t xml:space="preserve">  TOTAL GENERAL</t>
  </si>
  <si>
    <t>Participación (%)  por Actividad</t>
  </si>
  <si>
    <t xml:space="preserve">      (15-15-15)</t>
  </si>
  <si>
    <t xml:space="preserve">      (Endosulfan)</t>
  </si>
  <si>
    <t xml:space="preserve">      (Dithane 60 Sc)</t>
  </si>
  <si>
    <t>Litros</t>
  </si>
  <si>
    <t>Total Costo Fomento</t>
  </si>
  <si>
    <t>Las unidades de médida expresadas en los insumos corresponde a la forma en la que los productores  la obtienen de los puntos de venta o agroquímicas.</t>
  </si>
  <si>
    <t>Una Hectárea equivale a 15.9 tareas.</t>
  </si>
  <si>
    <t>COSTO FOMENTO: desde el año 1 al 3   Y  COSTO MANTENIMIENTO:  del cuarto año en adelante.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</si>
  <si>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</si>
  <si>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</si>
  <si>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</si>
  <si>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</si>
  <si>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 xml:space="preserve">   .4 Compra de Insecticida</t>
  </si>
  <si>
    <t xml:space="preserve">   .5 Compra Fungicida</t>
  </si>
  <si>
    <t xml:space="preserve">   .6 Transporte de Pesticida</t>
  </si>
  <si>
    <t>Página 148</t>
  </si>
  <si>
    <t xml:space="preserve">  PAGOS INTERESES 8.0% ANUAL (12 meses 8.0%)</t>
  </si>
  <si>
    <t xml:space="preserve">  ESTIMADO DE COSTO DE PRODUCCION PARA LA EXPLOTACION DE UNA TAREA  DE CAFE EN FOMENTO Y MANTENIMIENTO, REPUBLICA DOMINICANA,  2019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</si>
  <si>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2019.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</si>
</sst>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00_)"/>
    <numFmt numFmtId="188" formatCode="0.00_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_(* #,##0.0000_);_(* \(#,##0.0000\);_(* &quot;-&quot;????_);_(@_)"/>
    <numFmt numFmtId="194" formatCode="#,##0.0000000_);\(#,##0.0000000\)"/>
    <numFmt numFmtId="195" formatCode="#,##0.00_ ;\-#,##0.00\ "/>
    <numFmt numFmtId="196" formatCode="_-* #,##0.0000\ _€_-;\-* #,##0.0000\ _€_-;_-* &quot;-&quot;????\ _€_-;_-@_-"/>
    <numFmt numFmtId="197" formatCode="0_)"/>
    <numFmt numFmtId="198" formatCode="#,##0.00\ _€"/>
    <numFmt numFmtId="199" formatCode="_(* #,##0.00000_);_(* \(#,##0.00000\);_(* &quot;-&quot;??_);_(@_)"/>
    <numFmt numFmtId="200" formatCode="_(* #,##0.0_);_(* \(#,##0.0\);_(* &quot;-&quot;?_);_(@_)"/>
  </numFmts>
  <fonts count="49">
    <font>
      <sz val="10"/>
      <name val="Arial"/>
      <family val="0"/>
    </font>
    <font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8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4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fill"/>
      <protection/>
    </xf>
    <xf numFmtId="0" fontId="5" fillId="33" borderId="11" xfId="0" applyFont="1" applyFill="1" applyBorder="1" applyAlignment="1" applyProtection="1">
      <alignment horizontal="fill"/>
      <protection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43" fontId="1" fillId="0" borderId="0" xfId="47" applyFont="1" applyAlignment="1">
      <alignment/>
    </xf>
    <xf numFmtId="188" fontId="1" fillId="0" borderId="0" xfId="0" applyNumberFormat="1" applyFont="1" applyAlignment="1" applyProtection="1">
      <alignment/>
      <protection/>
    </xf>
    <xf numFmtId="187" fontId="1" fillId="0" borderId="0" xfId="0" applyNumberFormat="1" applyFont="1" applyAlignment="1" applyProtection="1">
      <alignment/>
      <protection/>
    </xf>
    <xf numFmtId="192" fontId="1" fillId="0" borderId="0" xfId="47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43" fontId="1" fillId="0" borderId="0" xfId="47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47" applyFont="1" applyBorder="1" applyAlignment="1" applyProtection="1">
      <alignment horizontal="center"/>
      <protection/>
    </xf>
    <xf numFmtId="193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91" fontId="1" fillId="0" borderId="0" xfId="47" applyNumberFormat="1" applyFont="1" applyBorder="1" applyAlignment="1">
      <alignment/>
    </xf>
    <xf numFmtId="189" fontId="5" fillId="33" borderId="11" xfId="47" applyNumberFormat="1" applyFont="1" applyFill="1" applyBorder="1" applyAlignment="1" applyProtection="1">
      <alignment horizontal="fill"/>
      <protection/>
    </xf>
    <xf numFmtId="189" fontId="1" fillId="0" borderId="0" xfId="47" applyNumberFormat="1" applyFont="1" applyAlignment="1">
      <alignment/>
    </xf>
    <xf numFmtId="189" fontId="1" fillId="0" borderId="0" xfId="47" applyNumberFormat="1" applyFont="1" applyAlignment="1" applyProtection="1">
      <alignment/>
      <protection/>
    </xf>
    <xf numFmtId="188" fontId="1" fillId="0" borderId="0" xfId="0" applyNumberFormat="1" applyFont="1" applyAlignment="1">
      <alignment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/>
    </xf>
    <xf numFmtId="39" fontId="4" fillId="34" borderId="0" xfId="0" applyNumberFormat="1" applyFont="1" applyFill="1" applyBorder="1" applyAlignment="1" applyProtection="1">
      <alignment/>
      <protection/>
    </xf>
    <xf numFmtId="189" fontId="4" fillId="34" borderId="0" xfId="47" applyNumberFormat="1" applyFont="1" applyFill="1" applyBorder="1" applyAlignment="1" applyProtection="1">
      <alignment/>
      <protection/>
    </xf>
    <xf numFmtId="39" fontId="45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7" fontId="5" fillId="34" borderId="0" xfId="0" applyNumberFormat="1" applyFont="1" applyFill="1" applyAlignment="1" applyProtection="1">
      <alignment/>
      <protection/>
    </xf>
    <xf numFmtId="10" fontId="5" fillId="34" borderId="0" xfId="0" applyNumberFormat="1" applyFont="1" applyFill="1" applyAlignment="1" applyProtection="1">
      <alignment/>
      <protection/>
    </xf>
    <xf numFmtId="197" fontId="5" fillId="34" borderId="0" xfId="0" applyNumberFormat="1" applyFont="1" applyFill="1" applyAlignment="1" applyProtection="1">
      <alignment/>
      <protection/>
    </xf>
    <xf numFmtId="0" fontId="46" fillId="34" borderId="0" xfId="0" applyFont="1" applyFill="1" applyAlignment="1">
      <alignment/>
    </xf>
    <xf numFmtId="0" fontId="3" fillId="34" borderId="13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>
      <alignment/>
    </xf>
    <xf numFmtId="43" fontId="3" fillId="34" borderId="14" xfId="47" applyFont="1" applyFill="1" applyBorder="1" applyAlignment="1">
      <alignment/>
    </xf>
    <xf numFmtId="189" fontId="3" fillId="34" borderId="14" xfId="47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4" xfId="0" applyFont="1" applyFill="1" applyBorder="1" applyAlignment="1" applyProtection="1">
      <alignment horizontal="center"/>
      <protection/>
    </xf>
    <xf numFmtId="189" fontId="1" fillId="34" borderId="14" xfId="47" applyNumberFormat="1" applyFont="1" applyFill="1" applyBorder="1" applyAlignment="1" applyProtection="1">
      <alignment horizontal="center"/>
      <protection/>
    </xf>
    <xf numFmtId="43" fontId="1" fillId="34" borderId="14" xfId="47" applyFont="1" applyFill="1" applyBorder="1" applyAlignment="1" applyProtection="1">
      <alignment/>
      <protection/>
    </xf>
    <xf numFmtId="9" fontId="1" fillId="34" borderId="12" xfId="53" applyFont="1" applyFill="1" applyBorder="1" applyAlignment="1">
      <alignment horizontal="center"/>
    </xf>
    <xf numFmtId="188" fontId="1" fillId="34" borderId="14" xfId="0" applyNumberFormat="1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left"/>
      <protection/>
    </xf>
    <xf numFmtId="43" fontId="1" fillId="34" borderId="14" xfId="47" applyNumberFormat="1" applyFont="1" applyFill="1" applyBorder="1" applyAlignment="1" applyProtection="1">
      <alignment horizontal="center"/>
      <protection/>
    </xf>
    <xf numFmtId="43" fontId="1" fillId="34" borderId="14" xfId="47" applyNumberFormat="1" applyFont="1" applyFill="1" applyBorder="1" applyAlignment="1">
      <alignment horizontal="center"/>
    </xf>
    <xf numFmtId="192" fontId="1" fillId="34" borderId="14" xfId="47" applyNumberFormat="1" applyFont="1" applyFill="1" applyBorder="1" applyAlignment="1">
      <alignment horizontal="center"/>
    </xf>
    <xf numFmtId="192" fontId="1" fillId="34" borderId="14" xfId="47" applyNumberFormat="1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>
      <alignment/>
    </xf>
    <xf numFmtId="189" fontId="1" fillId="34" borderId="14" xfId="47" applyNumberFormat="1" applyFont="1" applyFill="1" applyBorder="1" applyAlignment="1" applyProtection="1">
      <alignment/>
      <protection/>
    </xf>
    <xf numFmtId="188" fontId="1" fillId="34" borderId="14" xfId="0" applyNumberFormat="1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left"/>
      <protection/>
    </xf>
    <xf numFmtId="192" fontId="1" fillId="34" borderId="16" xfId="47" applyNumberFormat="1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/>
      <protection/>
    </xf>
    <xf numFmtId="188" fontId="1" fillId="34" borderId="16" xfId="0" applyNumberFormat="1" applyFont="1" applyFill="1" applyBorder="1" applyAlignment="1" applyProtection="1">
      <alignment/>
      <protection/>
    </xf>
    <xf numFmtId="9" fontId="1" fillId="34" borderId="17" xfId="53" applyFont="1" applyFill="1" applyBorder="1" applyAlignment="1">
      <alignment horizontal="center"/>
    </xf>
    <xf numFmtId="39" fontId="5" fillId="34" borderId="14" xfId="0" applyNumberFormat="1" applyFont="1" applyFill="1" applyBorder="1" applyAlignment="1" applyProtection="1">
      <alignment/>
      <protection/>
    </xf>
    <xf numFmtId="189" fontId="5" fillId="34" borderId="14" xfId="47" applyNumberFormat="1" applyFont="1" applyFill="1" applyBorder="1" applyAlignment="1" applyProtection="1">
      <alignment/>
      <protection/>
    </xf>
    <xf numFmtId="0" fontId="45" fillId="34" borderId="0" xfId="0" applyFont="1" applyFill="1" applyAlignment="1">
      <alignment/>
    </xf>
    <xf numFmtId="189" fontId="45" fillId="34" borderId="0" xfId="47" applyNumberFormat="1" applyFont="1" applyFill="1" applyAlignment="1">
      <alignment/>
    </xf>
    <xf numFmtId="0" fontId="2" fillId="34" borderId="0" xfId="0" applyFont="1" applyFill="1" applyBorder="1" applyAlignment="1" applyProtection="1">
      <alignment horizontal="centerContinuous" vertical="center"/>
      <protection/>
    </xf>
    <xf numFmtId="0" fontId="2" fillId="34" borderId="0" xfId="0" applyFont="1" applyFill="1" applyBorder="1" applyAlignment="1">
      <alignment horizontal="centerContinuous" vertical="center"/>
    </xf>
    <xf numFmtId="189" fontId="2" fillId="34" borderId="0" xfId="47" applyNumberFormat="1" applyFont="1" applyFill="1" applyBorder="1" applyAlignment="1">
      <alignment horizontal="centerContinuous" vertical="center"/>
    </xf>
    <xf numFmtId="189" fontId="1" fillId="34" borderId="16" xfId="47" applyNumberFormat="1" applyFont="1" applyFill="1" applyBorder="1" applyAlignment="1" applyProtection="1">
      <alignment horizontal="center"/>
      <protection/>
    </xf>
    <xf numFmtId="189" fontId="1" fillId="34" borderId="0" xfId="47" applyNumberFormat="1" applyFont="1" applyFill="1" applyBorder="1" applyAlignment="1" applyProtection="1">
      <alignment horizontal="center"/>
      <protection/>
    </xf>
    <xf numFmtId="9" fontId="5" fillId="34" borderId="12" xfId="53" applyFont="1" applyFill="1" applyBorder="1" applyAlignment="1">
      <alignment horizontal="center"/>
    </xf>
    <xf numFmtId="0" fontId="4" fillId="34" borderId="18" xfId="0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>
      <alignment/>
    </xf>
    <xf numFmtId="39" fontId="4" fillId="34" borderId="20" xfId="0" applyNumberFormat="1" applyFont="1" applyFill="1" applyBorder="1" applyAlignment="1" applyProtection="1">
      <alignment/>
      <protection/>
    </xf>
    <xf numFmtId="189" fontId="4" fillId="34" borderId="20" xfId="47" applyNumberFormat="1" applyFont="1" applyFill="1" applyBorder="1" applyAlignment="1" applyProtection="1">
      <alignment/>
      <protection/>
    </xf>
    <xf numFmtId="9" fontId="4" fillId="34" borderId="21" xfId="53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>
      <alignment/>
    </xf>
    <xf numFmtId="0" fontId="47" fillId="34" borderId="13" xfId="0" applyFont="1" applyFill="1" applyBorder="1" applyAlignment="1" applyProtection="1">
      <alignment horizontal="left"/>
      <protection/>
    </xf>
    <xf numFmtId="43" fontId="47" fillId="34" borderId="14" xfId="47" applyNumberFormat="1" applyFont="1" applyFill="1" applyBorder="1" applyAlignment="1" applyProtection="1">
      <alignment horizontal="center"/>
      <protection/>
    </xf>
    <xf numFmtId="0" fontId="47" fillId="34" borderId="14" xfId="0" applyFont="1" applyFill="1" applyBorder="1" applyAlignment="1" applyProtection="1">
      <alignment horizontal="center"/>
      <protection/>
    </xf>
    <xf numFmtId="188" fontId="47" fillId="34" borderId="14" xfId="0" applyNumberFormat="1" applyFont="1" applyFill="1" applyBorder="1" applyAlignment="1" applyProtection="1">
      <alignment/>
      <protection/>
    </xf>
    <xf numFmtId="39" fontId="45" fillId="0" borderId="0" xfId="0" applyNumberFormat="1" applyFont="1" applyAlignment="1">
      <alignment/>
    </xf>
    <xf numFmtId="0" fontId="4" fillId="35" borderId="23" xfId="0" applyFont="1" applyFill="1" applyBorder="1" applyAlignment="1" applyProtection="1">
      <alignment horizontal="left"/>
      <protection/>
    </xf>
    <xf numFmtId="0" fontId="4" fillId="35" borderId="24" xfId="0" applyFont="1" applyFill="1" applyBorder="1" applyAlignment="1">
      <alignment/>
    </xf>
    <xf numFmtId="39" fontId="4" fillId="35" borderId="24" xfId="0" applyNumberFormat="1" applyFont="1" applyFill="1" applyBorder="1" applyAlignment="1" applyProtection="1">
      <alignment/>
      <protection/>
    </xf>
    <xf numFmtId="189" fontId="4" fillId="35" borderId="24" xfId="47" applyNumberFormat="1" applyFont="1" applyFill="1" applyBorder="1" applyAlignment="1" applyProtection="1">
      <alignment/>
      <protection/>
    </xf>
    <xf numFmtId="39" fontId="4" fillId="35" borderId="25" xfId="0" applyNumberFormat="1" applyFont="1" applyFill="1" applyBorder="1" applyAlignment="1" applyProtection="1">
      <alignment/>
      <protection/>
    </xf>
    <xf numFmtId="9" fontId="4" fillId="35" borderId="26" xfId="53" applyFont="1" applyFill="1" applyBorder="1" applyAlignment="1" applyProtection="1">
      <alignment horizontal="center"/>
      <protection/>
    </xf>
    <xf numFmtId="0" fontId="3" fillId="35" borderId="27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6" fillId="35" borderId="0" xfId="0" applyFont="1" applyFill="1" applyAlignment="1" applyProtection="1">
      <alignment horizontal="center" vertical="justify"/>
      <protection/>
    </xf>
    <xf numFmtId="0" fontId="48" fillId="0" borderId="0" xfId="0" applyFont="1" applyAlignment="1">
      <alignment/>
    </xf>
    <xf numFmtId="198" fontId="47" fillId="34" borderId="14" xfId="0" applyNumberFormat="1" applyFont="1" applyFill="1" applyBorder="1" applyAlignment="1" applyProtection="1">
      <alignment/>
      <protection/>
    </xf>
    <xf numFmtId="0" fontId="47" fillId="34" borderId="14" xfId="0" applyFont="1" applyFill="1" applyBorder="1" applyAlignment="1">
      <alignment/>
    </xf>
    <xf numFmtId="0" fontId="6" fillId="34" borderId="0" xfId="0" applyFont="1" applyFill="1" applyAlignment="1" applyProtection="1">
      <alignment horizontal="center" vertical="justify"/>
      <protection/>
    </xf>
    <xf numFmtId="0" fontId="5" fillId="0" borderId="0" xfId="0" applyFont="1" applyAlignment="1">
      <alignment horizontal="center"/>
    </xf>
    <xf numFmtId="0" fontId="1" fillId="35" borderId="21" xfId="0" applyFont="1" applyFill="1" applyBorder="1" applyAlignment="1">
      <alignment horizontal="center" vertical="justify"/>
    </xf>
    <xf numFmtId="0" fontId="1" fillId="35" borderId="28" xfId="0" applyFont="1" applyFill="1" applyBorder="1" applyAlignment="1">
      <alignment horizontal="center" vertical="justify"/>
    </xf>
    <xf numFmtId="0" fontId="3" fillId="35" borderId="20" xfId="0" applyFont="1" applyFill="1" applyBorder="1" applyAlignment="1" applyProtection="1">
      <alignment horizontal="center" vertical="justify"/>
      <protection/>
    </xf>
    <xf numFmtId="0" fontId="3" fillId="35" borderId="16" xfId="0" applyFont="1" applyFill="1" applyBorder="1" applyAlignment="1" applyProtection="1">
      <alignment horizontal="center" vertical="justify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 wrapText="1"/>
      <protection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7">
      <selection activeCell="O38" sqref="O38"/>
    </sheetView>
  </sheetViews>
  <sheetFormatPr defaultColWidth="11.00390625" defaultRowHeight="12.75"/>
  <cols>
    <col min="1" max="1" width="29.57421875" style="1" customWidth="1"/>
    <col min="2" max="2" width="8.57421875" style="1" customWidth="1"/>
    <col min="3" max="3" width="7.57421875" style="1" customWidth="1"/>
    <col min="4" max="4" width="8.28125" style="1" customWidth="1"/>
    <col min="5" max="5" width="10.140625" style="1" customWidth="1"/>
    <col min="6" max="6" width="8.140625" style="1" customWidth="1"/>
    <col min="7" max="7" width="9.28125" style="1" customWidth="1"/>
    <col min="8" max="8" width="10.57421875" style="21" customWidth="1"/>
    <col min="9" max="9" width="9.7109375" style="1" customWidth="1"/>
    <col min="10" max="10" width="10.140625" style="1" customWidth="1"/>
    <col min="11" max="11" width="10.7109375" style="1" customWidth="1"/>
    <col min="12" max="12" width="11.00390625" style="1" customWidth="1"/>
    <col min="13" max="13" width="12.421875" style="1" customWidth="1"/>
    <col min="14" max="16384" width="11.00390625" style="1" customWidth="1"/>
  </cols>
  <sheetData>
    <row r="1" spans="1:11" ht="6.75" customHeight="1">
      <c r="A1" s="60"/>
      <c r="B1" s="60"/>
      <c r="C1" s="60"/>
      <c r="D1" s="60"/>
      <c r="E1" s="60"/>
      <c r="F1" s="60"/>
      <c r="G1" s="60"/>
      <c r="H1" s="61"/>
      <c r="I1" s="60"/>
      <c r="J1" s="60"/>
      <c r="K1" s="60"/>
    </row>
    <row r="2" spans="1:11" ht="34.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3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2" s="2" customFormat="1" ht="18" customHeight="1" thickBot="1">
      <c r="A4" s="62"/>
      <c r="B4" s="63"/>
      <c r="C4" s="63"/>
      <c r="D4" s="63"/>
      <c r="E4" s="63"/>
      <c r="F4" s="63"/>
      <c r="G4" s="63"/>
      <c r="H4" s="64"/>
      <c r="I4" s="63"/>
      <c r="J4" s="63"/>
      <c r="K4" s="29"/>
      <c r="L4" s="1"/>
    </row>
    <row r="5" spans="1:11" ht="20.25" customHeight="1">
      <c r="A5" s="86"/>
      <c r="B5" s="87"/>
      <c r="C5" s="87"/>
      <c r="D5" s="88" t="s">
        <v>0</v>
      </c>
      <c r="E5" s="88" t="s">
        <v>1</v>
      </c>
      <c r="F5" s="88" t="s">
        <v>2</v>
      </c>
      <c r="G5" s="88" t="s">
        <v>3</v>
      </c>
      <c r="H5" s="99" t="s">
        <v>43</v>
      </c>
      <c r="I5" s="88" t="s">
        <v>4</v>
      </c>
      <c r="J5" s="88" t="s">
        <v>5</v>
      </c>
      <c r="K5" s="97" t="s">
        <v>38</v>
      </c>
    </row>
    <row r="6" spans="1:14" ht="34.5" customHeight="1" thickBot="1">
      <c r="A6" s="89" t="s">
        <v>6</v>
      </c>
      <c r="B6" s="90" t="s">
        <v>7</v>
      </c>
      <c r="C6" s="90" t="s">
        <v>8</v>
      </c>
      <c r="D6" s="90" t="s">
        <v>9</v>
      </c>
      <c r="E6" s="90" t="s">
        <v>5</v>
      </c>
      <c r="F6" s="90" t="s">
        <v>5</v>
      </c>
      <c r="G6" s="90" t="s">
        <v>5</v>
      </c>
      <c r="H6" s="100"/>
      <c r="I6" s="90" t="s">
        <v>5</v>
      </c>
      <c r="J6" s="90" t="s">
        <v>10</v>
      </c>
      <c r="K6" s="98"/>
      <c r="M6" s="5"/>
      <c r="N6" s="5"/>
    </row>
    <row r="7" spans="1:14" ht="7.5" customHeight="1" hidden="1">
      <c r="A7" s="3"/>
      <c r="B7" s="4"/>
      <c r="C7" s="4"/>
      <c r="D7" s="4"/>
      <c r="E7" s="4"/>
      <c r="F7" s="4"/>
      <c r="G7" s="4"/>
      <c r="H7" s="20"/>
      <c r="I7" s="4"/>
      <c r="J7" s="4"/>
      <c r="K7" s="6"/>
      <c r="M7" s="5"/>
      <c r="N7" s="5"/>
    </row>
    <row r="8" spans="1:14" ht="16.5" customHeight="1">
      <c r="A8" s="35" t="s">
        <v>11</v>
      </c>
      <c r="B8" s="36"/>
      <c r="C8" s="36"/>
      <c r="D8" s="37"/>
      <c r="E8" s="37">
        <f aca="true" t="shared" si="0" ref="E8:J8">SUM(E9:E17)</f>
        <v>3413.6770000000006</v>
      </c>
      <c r="F8" s="37">
        <f t="shared" si="0"/>
        <v>91.35775</v>
      </c>
      <c r="G8" s="37">
        <f t="shared" si="0"/>
        <v>88.25775</v>
      </c>
      <c r="H8" s="38">
        <f>SUM(H9:H17)</f>
        <v>3593.2925</v>
      </c>
      <c r="I8" s="37">
        <f t="shared" si="0"/>
        <v>620.7825</v>
      </c>
      <c r="J8" s="37">
        <f>SUM(J9:J17)</f>
        <v>4214.075</v>
      </c>
      <c r="K8" s="39"/>
      <c r="M8" s="15"/>
      <c r="N8" s="5"/>
    </row>
    <row r="9" spans="1:16" ht="12.75" customHeight="1">
      <c r="A9" s="75" t="s">
        <v>12</v>
      </c>
      <c r="B9" s="76">
        <v>200</v>
      </c>
      <c r="C9" s="77" t="s">
        <v>13</v>
      </c>
      <c r="D9" s="78">
        <v>15</v>
      </c>
      <c r="E9" s="44">
        <f>(D9*B9)</f>
        <v>3000</v>
      </c>
      <c r="F9" s="40" t="s">
        <v>14</v>
      </c>
      <c r="G9" s="40" t="s">
        <v>14</v>
      </c>
      <c r="H9" s="41">
        <f>SUM(E9:G9)</f>
        <v>3000</v>
      </c>
      <c r="I9" s="40" t="s">
        <v>14</v>
      </c>
      <c r="J9" s="42">
        <f>SUM(H9:I9)</f>
        <v>3000</v>
      </c>
      <c r="K9" s="43">
        <f>J9/J$36</f>
        <v>0.32020406374435506</v>
      </c>
      <c r="M9" s="15"/>
      <c r="N9" s="5"/>
      <c r="P9" s="8"/>
    </row>
    <row r="10" spans="1:14" ht="12.75" customHeight="1">
      <c r="A10" s="75" t="s">
        <v>15</v>
      </c>
      <c r="B10" s="76">
        <v>20</v>
      </c>
      <c r="C10" s="77" t="s">
        <v>13</v>
      </c>
      <c r="D10" s="78">
        <v>15</v>
      </c>
      <c r="E10" s="44">
        <f>(D10*B10)</f>
        <v>300</v>
      </c>
      <c r="F10" s="40" t="s">
        <v>14</v>
      </c>
      <c r="G10" s="40" t="s">
        <v>14</v>
      </c>
      <c r="H10" s="41">
        <f aca="true" t="shared" si="1" ref="H10:H17">SUM(E10:G10)</f>
        <v>300</v>
      </c>
      <c r="I10" s="40" t="s">
        <v>14</v>
      </c>
      <c r="J10" s="44">
        <f>(D10*B10)</f>
        <v>300</v>
      </c>
      <c r="K10" s="43">
        <f>J10/J$36</f>
        <v>0.032020406374435505</v>
      </c>
      <c r="L10" s="14"/>
      <c r="M10" s="15"/>
      <c r="N10" s="5"/>
    </row>
    <row r="11" spans="1:15" ht="12.75" customHeight="1">
      <c r="A11" s="45" t="s">
        <v>16</v>
      </c>
      <c r="B11" s="47"/>
      <c r="C11" s="36"/>
      <c r="D11" s="36"/>
      <c r="E11" s="36"/>
      <c r="F11" s="36"/>
      <c r="G11" s="36"/>
      <c r="H11" s="41">
        <f t="shared" si="1"/>
        <v>0</v>
      </c>
      <c r="I11" s="36"/>
      <c r="J11" s="36"/>
      <c r="K11" s="43"/>
      <c r="L11" s="14"/>
      <c r="M11" s="15"/>
      <c r="N11" s="13"/>
      <c r="O11" s="14"/>
    </row>
    <row r="12" spans="1:14" ht="12.75" customHeight="1">
      <c r="A12" s="45" t="s">
        <v>39</v>
      </c>
      <c r="B12" s="46">
        <v>0.6</v>
      </c>
      <c r="C12" s="40" t="s">
        <v>17</v>
      </c>
      <c r="D12" s="93">
        <v>1181.625</v>
      </c>
      <c r="E12" s="44">
        <f>(J12*0.12)</f>
        <v>85.077</v>
      </c>
      <c r="F12" s="44">
        <f>(J12*0.09)</f>
        <v>63.80775</v>
      </c>
      <c r="G12" s="44">
        <f>(J12*0.09)</f>
        <v>63.80775</v>
      </c>
      <c r="H12" s="41">
        <f>SUM(E12:G12)</f>
        <v>212.6925</v>
      </c>
      <c r="I12" s="44">
        <f>(J12*0.7)</f>
        <v>496.28249999999997</v>
      </c>
      <c r="J12" s="42">
        <f>(D12*B12)</f>
        <v>708.975</v>
      </c>
      <c r="K12" s="43">
        <f>J12/J$36</f>
        <v>0.07567222536438471</v>
      </c>
      <c r="L12" s="92"/>
      <c r="M12" s="15"/>
      <c r="N12" s="5"/>
    </row>
    <row r="13" spans="1:14" ht="12.75" customHeight="1">
      <c r="A13" s="45" t="s">
        <v>51</v>
      </c>
      <c r="B13" s="47"/>
      <c r="C13" s="36"/>
      <c r="D13" s="78"/>
      <c r="E13" s="44"/>
      <c r="F13" s="44"/>
      <c r="G13" s="44"/>
      <c r="H13" s="41">
        <f t="shared" si="1"/>
        <v>0</v>
      </c>
      <c r="I13" s="44"/>
      <c r="J13" s="42"/>
      <c r="K13" s="43"/>
      <c r="M13" s="15"/>
      <c r="N13" s="13"/>
    </row>
    <row r="14" spans="1:14" ht="12.75" customHeight="1">
      <c r="A14" s="45" t="s">
        <v>40</v>
      </c>
      <c r="B14" s="46">
        <f>7.5/112.5</f>
        <v>0.06666666666666667</v>
      </c>
      <c r="C14" s="40" t="s">
        <v>42</v>
      </c>
      <c r="D14" s="78">
        <v>450</v>
      </c>
      <c r="E14" s="44">
        <f>(J14*0.4)</f>
        <v>12</v>
      </c>
      <c r="F14" s="44">
        <f>(J14*0.2)</f>
        <v>6</v>
      </c>
      <c r="G14" s="44">
        <f>(J14*0.25)</f>
        <v>7.5</v>
      </c>
      <c r="H14" s="41">
        <f>SUM(E14:G14)</f>
        <v>25.5</v>
      </c>
      <c r="I14" s="44">
        <f>J14*0.15</f>
        <v>4.5</v>
      </c>
      <c r="J14" s="42">
        <f>(D14*B14)</f>
        <v>30</v>
      </c>
      <c r="K14" s="43">
        <f>J14/J$36</f>
        <v>0.0032020406374435504</v>
      </c>
      <c r="M14" s="15"/>
      <c r="N14" s="5"/>
    </row>
    <row r="15" spans="1:14" ht="12.75" customHeight="1">
      <c r="A15" s="45" t="s">
        <v>52</v>
      </c>
      <c r="B15" s="48"/>
      <c r="C15" s="36"/>
      <c r="D15" s="94"/>
      <c r="E15" s="36"/>
      <c r="F15" s="36"/>
      <c r="G15" s="36"/>
      <c r="H15" s="41">
        <f t="shared" si="1"/>
        <v>0</v>
      </c>
      <c r="I15" s="36"/>
      <c r="J15" s="36"/>
      <c r="K15" s="43"/>
      <c r="M15" s="15"/>
      <c r="N15" s="5"/>
    </row>
    <row r="16" spans="1:14" ht="12.75" customHeight="1">
      <c r="A16" s="45" t="s">
        <v>41</v>
      </c>
      <c r="B16" s="49">
        <f>10/150</f>
        <v>0.06666666666666667</v>
      </c>
      <c r="C16" s="40" t="s">
        <v>18</v>
      </c>
      <c r="D16" s="78">
        <v>376.5</v>
      </c>
      <c r="E16" s="44">
        <f>(J16*0.5)</f>
        <v>12.55</v>
      </c>
      <c r="F16" s="44">
        <f>(J16*0.5)</f>
        <v>12.55</v>
      </c>
      <c r="G16" s="40" t="s">
        <v>14</v>
      </c>
      <c r="H16" s="41">
        <f t="shared" si="1"/>
        <v>25.1</v>
      </c>
      <c r="I16" s="40" t="s">
        <v>14</v>
      </c>
      <c r="J16" s="44">
        <f>(D16*B16)</f>
        <v>25.1</v>
      </c>
      <c r="K16" s="43">
        <f>J16/J$36</f>
        <v>0.002679040666661104</v>
      </c>
      <c r="M16" s="15"/>
      <c r="N16" s="5"/>
    </row>
    <row r="17" spans="1:14" ht="12.75" customHeight="1">
      <c r="A17" s="45" t="s">
        <v>53</v>
      </c>
      <c r="B17" s="49">
        <v>1</v>
      </c>
      <c r="C17" s="40" t="s">
        <v>19</v>
      </c>
      <c r="D17" s="78">
        <v>150</v>
      </c>
      <c r="E17" s="44">
        <f>(J17*0.027)</f>
        <v>4.05</v>
      </c>
      <c r="F17" s="44">
        <f>(J17*0.06)</f>
        <v>9</v>
      </c>
      <c r="G17" s="44">
        <f>(J17*0.113)</f>
        <v>16.95</v>
      </c>
      <c r="H17" s="41">
        <f t="shared" si="1"/>
        <v>30</v>
      </c>
      <c r="I17" s="44">
        <f>(J17*0.8)</f>
        <v>120</v>
      </c>
      <c r="J17" s="44">
        <f>(D17*B17)</f>
        <v>150</v>
      </c>
      <c r="K17" s="43">
        <f>J17/J$36</f>
        <v>0.016010203187217752</v>
      </c>
      <c r="M17" s="15"/>
      <c r="N17" s="5"/>
    </row>
    <row r="18" spans="1:14" ht="2.25" customHeight="1">
      <c r="A18" s="50"/>
      <c r="B18" s="48"/>
      <c r="C18" s="36"/>
      <c r="D18" s="36"/>
      <c r="E18" s="44"/>
      <c r="F18" s="44"/>
      <c r="G18" s="44"/>
      <c r="H18" s="51"/>
      <c r="I18" s="44"/>
      <c r="J18" s="44"/>
      <c r="K18" s="43">
        <f>J18/J$36</f>
        <v>0</v>
      </c>
      <c r="M18" s="15"/>
      <c r="N18" s="5"/>
    </row>
    <row r="19" spans="1:14" ht="15" customHeight="1">
      <c r="A19" s="35" t="s">
        <v>20</v>
      </c>
      <c r="B19" s="48"/>
      <c r="C19" s="36"/>
      <c r="D19" s="37"/>
      <c r="E19" s="37">
        <f aca="true" t="shared" si="2" ref="E19:J19">SUM(E20:E32)</f>
        <v>3741.7597</v>
      </c>
      <c r="F19" s="37">
        <f t="shared" si="2"/>
        <v>122.9319</v>
      </c>
      <c r="G19" s="37">
        <f t="shared" si="2"/>
        <v>142.96259999999998</v>
      </c>
      <c r="H19" s="38">
        <f t="shared" si="2"/>
        <v>3907.48844</v>
      </c>
      <c r="I19" s="37">
        <f t="shared" si="2"/>
        <v>383.1958</v>
      </c>
      <c r="J19" s="37">
        <f>SUM(J20:J32)</f>
        <v>4290.85</v>
      </c>
      <c r="K19" s="43"/>
      <c r="M19" s="15"/>
      <c r="N19" s="5"/>
    </row>
    <row r="20" spans="1:14" ht="12.75" customHeight="1">
      <c r="A20" s="45" t="s">
        <v>21</v>
      </c>
      <c r="B20" s="49">
        <v>0.126</v>
      </c>
      <c r="C20" s="40" t="s">
        <v>22</v>
      </c>
      <c r="D20" s="44">
        <v>500</v>
      </c>
      <c r="E20" s="44">
        <f>(D20*B20)</f>
        <v>63</v>
      </c>
      <c r="F20" s="52" t="s">
        <v>14</v>
      </c>
      <c r="G20" s="52" t="s">
        <v>14</v>
      </c>
      <c r="H20" s="41">
        <f>SUM(E20:G20)</f>
        <v>63</v>
      </c>
      <c r="I20" s="52" t="s">
        <v>14</v>
      </c>
      <c r="J20" s="44">
        <f>(D20*B20)</f>
        <v>63</v>
      </c>
      <c r="K20" s="43">
        <f>J20/J$36</f>
        <v>0.006724285338631456</v>
      </c>
      <c r="M20" s="15"/>
      <c r="N20" s="16"/>
    </row>
    <row r="21" spans="1:14" ht="12.75" customHeight="1">
      <c r="A21" s="45" t="s">
        <v>23</v>
      </c>
      <c r="B21" s="49">
        <v>0.188</v>
      </c>
      <c r="C21" s="40" t="s">
        <v>22</v>
      </c>
      <c r="D21" s="44">
        <f>+$D$20</f>
        <v>500</v>
      </c>
      <c r="E21" s="44">
        <f>(D21*B21)</f>
        <v>94</v>
      </c>
      <c r="F21" s="52" t="s">
        <v>14</v>
      </c>
      <c r="G21" s="52" t="s">
        <v>14</v>
      </c>
      <c r="H21" s="41">
        <f aca="true" t="shared" si="3" ref="H21:H27">SUM(E21:G21)</f>
        <v>94</v>
      </c>
      <c r="I21" s="52" t="s">
        <v>14</v>
      </c>
      <c r="J21" s="44">
        <f>(D21*B21)</f>
        <v>94</v>
      </c>
      <c r="K21" s="43">
        <f>J21/J$36</f>
        <v>0.010033060663989792</v>
      </c>
      <c r="M21" s="15"/>
      <c r="N21" s="16"/>
    </row>
    <row r="22" spans="1:14" ht="12.75" customHeight="1">
      <c r="A22" s="45" t="s">
        <v>24</v>
      </c>
      <c r="B22" s="49">
        <v>0.5</v>
      </c>
      <c r="C22" s="40" t="s">
        <v>22</v>
      </c>
      <c r="D22" s="44">
        <f>+$D$20</f>
        <v>500</v>
      </c>
      <c r="E22" s="44">
        <f>(D22*B22)</f>
        <v>250</v>
      </c>
      <c r="F22" s="52" t="s">
        <v>14</v>
      </c>
      <c r="G22" s="44"/>
      <c r="H22" s="41">
        <f t="shared" si="3"/>
        <v>250</v>
      </c>
      <c r="I22" s="44"/>
      <c r="J22" s="44">
        <f>(D22*B22)</f>
        <v>250</v>
      </c>
      <c r="K22" s="43">
        <f>J22/J$36</f>
        <v>0.026683671978696255</v>
      </c>
      <c r="L22" s="23"/>
      <c r="M22" s="15"/>
      <c r="N22" s="16"/>
    </row>
    <row r="23" spans="1:14" ht="12.75" customHeight="1">
      <c r="A23" s="45" t="s">
        <v>25</v>
      </c>
      <c r="B23" s="49">
        <v>0.056</v>
      </c>
      <c r="C23" s="40" t="s">
        <v>22</v>
      </c>
      <c r="D23" s="44">
        <f>+$D$20</f>
        <v>500</v>
      </c>
      <c r="E23" s="44">
        <f>(J23*0.26)</f>
        <v>7.28</v>
      </c>
      <c r="F23" s="44">
        <f>($J23*0.2)</f>
        <v>5.6000000000000005</v>
      </c>
      <c r="G23" s="44">
        <f>($J23*0.19)</f>
        <v>5.32</v>
      </c>
      <c r="H23" s="41">
        <f t="shared" si="3"/>
        <v>18.200000000000003</v>
      </c>
      <c r="I23" s="44">
        <f>($J23*0.35)</f>
        <v>9.799999999999999</v>
      </c>
      <c r="J23" s="44">
        <f>(D23*B23)</f>
        <v>28</v>
      </c>
      <c r="K23" s="43">
        <f>J23/J$36</f>
        <v>0.0029885712616139802</v>
      </c>
      <c r="M23" s="15"/>
      <c r="N23" s="16"/>
    </row>
    <row r="24" spans="1:14" ht="12.75" customHeight="1">
      <c r="A24" s="45" t="s">
        <v>26</v>
      </c>
      <c r="B24" s="48"/>
      <c r="C24" s="36"/>
      <c r="D24" s="36"/>
      <c r="E24" s="36"/>
      <c r="F24" s="36"/>
      <c r="G24" s="36"/>
      <c r="H24" s="41">
        <f t="shared" si="3"/>
        <v>0</v>
      </c>
      <c r="I24" s="36"/>
      <c r="J24" s="36"/>
      <c r="K24" s="43"/>
      <c r="M24" s="15"/>
      <c r="N24" s="11"/>
    </row>
    <row r="25" spans="1:14" ht="12.75" customHeight="1">
      <c r="A25" s="45" t="s">
        <v>27</v>
      </c>
      <c r="B25" s="49">
        <v>0.932</v>
      </c>
      <c r="C25" s="40" t="s">
        <v>22</v>
      </c>
      <c r="D25" s="44">
        <f>+$D$20</f>
        <v>500</v>
      </c>
      <c r="E25" s="44">
        <f>(D25*B25)</f>
        <v>466</v>
      </c>
      <c r="F25" s="52" t="s">
        <v>14</v>
      </c>
      <c r="G25" s="52" t="s">
        <v>14</v>
      </c>
      <c r="H25" s="41">
        <f>SUM(E25:G25)</f>
        <v>466</v>
      </c>
      <c r="I25" s="52" t="s">
        <v>14</v>
      </c>
      <c r="J25" s="44">
        <f aca="true" t="shared" si="4" ref="J25:J32">(D25*B25)</f>
        <v>466</v>
      </c>
      <c r="K25" s="43">
        <f aca="true" t="shared" si="5" ref="K25:K32">J25/J$36</f>
        <v>0.04973836456828982</v>
      </c>
      <c r="M25" s="15"/>
      <c r="N25" s="16"/>
    </row>
    <row r="26" spans="1:14" ht="12.75" customHeight="1">
      <c r="A26" s="45" t="s">
        <v>28</v>
      </c>
      <c r="B26" s="49">
        <v>1.1167</v>
      </c>
      <c r="C26" s="40" t="s">
        <v>22</v>
      </c>
      <c r="D26" s="44">
        <f aca="true" t="shared" si="6" ref="D26:D32">+$D$20</f>
        <v>500</v>
      </c>
      <c r="E26" s="44">
        <f>(D26*B26)</f>
        <v>558.35</v>
      </c>
      <c r="F26" s="52" t="s">
        <v>14</v>
      </c>
      <c r="G26" s="52" t="s">
        <v>14</v>
      </c>
      <c r="H26" s="41">
        <f>SUM(E26:G26)</f>
        <v>558.35</v>
      </c>
      <c r="I26" s="52" t="s">
        <v>14</v>
      </c>
      <c r="J26" s="44">
        <f t="shared" si="4"/>
        <v>558.35</v>
      </c>
      <c r="K26" s="43">
        <f t="shared" si="5"/>
        <v>0.059595312997220214</v>
      </c>
      <c r="M26" s="15"/>
      <c r="N26" s="16"/>
    </row>
    <row r="27" spans="1:14" ht="12.75" customHeight="1">
      <c r="A27" s="45" t="s">
        <v>29</v>
      </c>
      <c r="B27" s="49">
        <v>1.3333</v>
      </c>
      <c r="C27" s="40" t="s">
        <v>22</v>
      </c>
      <c r="D27" s="44">
        <f t="shared" si="6"/>
        <v>500</v>
      </c>
      <c r="E27" s="44">
        <f>(J27*0.26)</f>
        <v>173.329</v>
      </c>
      <c r="F27" s="44">
        <f>(J27*0.17)</f>
        <v>113.3305</v>
      </c>
      <c r="G27" s="44">
        <f>(J27*0.19)</f>
        <v>126.6635</v>
      </c>
      <c r="H27" s="41">
        <f t="shared" si="3"/>
        <v>413.323</v>
      </c>
      <c r="I27" s="44">
        <f>(J27*0.38)</f>
        <v>253.327</v>
      </c>
      <c r="J27" s="44">
        <f t="shared" si="4"/>
        <v>666.65</v>
      </c>
      <c r="K27" s="43">
        <f t="shared" si="5"/>
        <v>0.07115467969839143</v>
      </c>
      <c r="M27" s="66"/>
      <c r="N27" s="11"/>
    </row>
    <row r="28" spans="1:14" ht="12.75" customHeight="1">
      <c r="A28" s="45" t="s">
        <v>30</v>
      </c>
      <c r="B28" s="49">
        <v>0.0741</v>
      </c>
      <c r="C28" s="40" t="s">
        <v>22</v>
      </c>
      <c r="D28" s="44">
        <f t="shared" si="6"/>
        <v>500</v>
      </c>
      <c r="E28" s="44">
        <f>(J28*0.054)</f>
        <v>2.0006999999999997</v>
      </c>
      <c r="F28" s="44">
        <f>(J28*0.108)</f>
        <v>4.001399999999999</v>
      </c>
      <c r="G28" s="44">
        <f>(J28*0.102)</f>
        <v>3.7790999999999997</v>
      </c>
      <c r="H28" s="41">
        <f>SUM(E28:G28)</f>
        <v>9.781199999999998</v>
      </c>
      <c r="I28" s="44">
        <f>(J28*0.736)</f>
        <v>27.2688</v>
      </c>
      <c r="J28" s="44">
        <f t="shared" si="4"/>
        <v>37.05</v>
      </c>
      <c r="K28" s="43">
        <f t="shared" si="5"/>
        <v>0.003954520187242784</v>
      </c>
      <c r="M28" s="15"/>
      <c r="N28" s="5"/>
    </row>
    <row r="29" spans="1:14" ht="12.75" customHeight="1">
      <c r="A29" s="45" t="s">
        <v>31</v>
      </c>
      <c r="B29" s="49">
        <v>0.0556</v>
      </c>
      <c r="C29" s="40" t="s">
        <v>22</v>
      </c>
      <c r="D29" s="44">
        <f t="shared" si="6"/>
        <v>500</v>
      </c>
      <c r="E29" s="44">
        <f>(D29*B29)</f>
        <v>27.799999999999997</v>
      </c>
      <c r="F29" s="52" t="s">
        <v>14</v>
      </c>
      <c r="G29" s="52" t="s">
        <v>14</v>
      </c>
      <c r="H29" s="41">
        <f>SUM(E29:G29)</f>
        <v>27.799999999999997</v>
      </c>
      <c r="I29" s="52" t="s">
        <v>14</v>
      </c>
      <c r="J29" s="44">
        <f t="shared" si="4"/>
        <v>27.799999999999997</v>
      </c>
      <c r="K29" s="43">
        <f t="shared" si="5"/>
        <v>0.002967224324031023</v>
      </c>
      <c r="M29" s="15"/>
      <c r="N29" s="16"/>
    </row>
    <row r="30" spans="1:14" ht="12.75" customHeight="1">
      <c r="A30" s="45" t="s">
        <v>32</v>
      </c>
      <c r="B30" s="49">
        <v>3.188</v>
      </c>
      <c r="C30" s="40" t="s">
        <v>22</v>
      </c>
      <c r="D30" s="44">
        <f t="shared" si="6"/>
        <v>500</v>
      </c>
      <c r="E30" s="44">
        <f>(D30*B30)</f>
        <v>1594</v>
      </c>
      <c r="F30" s="52" t="s">
        <v>14</v>
      </c>
      <c r="G30" s="52" t="s">
        <v>14</v>
      </c>
      <c r="H30" s="41">
        <f>SUM(E30:G30)</f>
        <v>1594</v>
      </c>
      <c r="I30" s="52" t="s">
        <v>14</v>
      </c>
      <c r="J30" s="44">
        <f t="shared" si="4"/>
        <v>1594</v>
      </c>
      <c r="K30" s="43">
        <f t="shared" si="5"/>
        <v>0.17013509253616732</v>
      </c>
      <c r="M30" s="15"/>
      <c r="N30" s="18"/>
    </row>
    <row r="31" spans="1:14" ht="12.75" customHeight="1">
      <c r="A31" s="45" t="s">
        <v>33</v>
      </c>
      <c r="B31" s="49">
        <v>0.812</v>
      </c>
      <c r="C31" s="40" t="s">
        <v>22</v>
      </c>
      <c r="D31" s="44">
        <f t="shared" si="6"/>
        <v>500</v>
      </c>
      <c r="E31" s="44">
        <f>(D31*B31)</f>
        <v>406</v>
      </c>
      <c r="F31" s="52" t="s">
        <v>14</v>
      </c>
      <c r="G31" s="52" t="s">
        <v>14</v>
      </c>
      <c r="H31" s="41">
        <f>SUM(E31:G31)</f>
        <v>406</v>
      </c>
      <c r="I31" s="44"/>
      <c r="J31" s="44">
        <f t="shared" si="4"/>
        <v>406</v>
      </c>
      <c r="K31" s="43">
        <f t="shared" si="5"/>
        <v>0.04333428329340271</v>
      </c>
      <c r="M31" s="15"/>
      <c r="N31" s="5"/>
    </row>
    <row r="32" spans="1:17" ht="12.75" customHeight="1" thickBot="1">
      <c r="A32" s="53" t="s">
        <v>34</v>
      </c>
      <c r="B32" s="54">
        <v>0.2</v>
      </c>
      <c r="C32" s="55" t="s">
        <v>22</v>
      </c>
      <c r="D32" s="56">
        <f t="shared" si="6"/>
        <v>500</v>
      </c>
      <c r="E32" s="56">
        <f>(D32*B32)</f>
        <v>100</v>
      </c>
      <c r="F32" s="54" t="s">
        <v>14</v>
      </c>
      <c r="G32" s="56">
        <f>(J32*0.072)</f>
        <v>7.199999999999999</v>
      </c>
      <c r="H32" s="65">
        <f>(I32*0.0758)</f>
        <v>7.034240000000001</v>
      </c>
      <c r="I32" s="56">
        <f>(J32*0.928)</f>
        <v>92.80000000000001</v>
      </c>
      <c r="J32" s="56">
        <f t="shared" si="4"/>
        <v>100</v>
      </c>
      <c r="K32" s="57">
        <f t="shared" si="5"/>
        <v>0.010673468791478501</v>
      </c>
      <c r="M32" s="15"/>
      <c r="N32" s="18"/>
      <c r="O32" s="14"/>
      <c r="Q32" s="14"/>
    </row>
    <row r="33" spans="1:17" ht="12" customHeight="1">
      <c r="A33" s="68" t="s">
        <v>35</v>
      </c>
      <c r="B33" s="69"/>
      <c r="C33" s="69"/>
      <c r="D33" s="69"/>
      <c r="E33" s="70">
        <f aca="true" t="shared" si="7" ref="E33:J33">E8+E19</f>
        <v>7155.4367</v>
      </c>
      <c r="F33" s="70">
        <f t="shared" si="7"/>
        <v>214.28965</v>
      </c>
      <c r="G33" s="70">
        <f t="shared" si="7"/>
        <v>231.22035</v>
      </c>
      <c r="H33" s="71">
        <f t="shared" si="7"/>
        <v>7500.780940000001</v>
      </c>
      <c r="I33" s="70">
        <f t="shared" si="7"/>
        <v>1003.9783</v>
      </c>
      <c r="J33" s="70">
        <f t="shared" si="7"/>
        <v>8504.925</v>
      </c>
      <c r="K33" s="72">
        <f>SUM(K8:K32)</f>
        <v>0.9077705156136529</v>
      </c>
      <c r="M33" s="19"/>
      <c r="N33" s="18"/>
      <c r="O33" s="14"/>
      <c r="Q33" s="14"/>
    </row>
    <row r="34" spans="1:17" ht="12.75" customHeight="1">
      <c r="A34" s="73" t="s">
        <v>36</v>
      </c>
      <c r="B34" s="74"/>
      <c r="C34" s="74"/>
      <c r="D34" s="74"/>
      <c r="E34" s="58">
        <f aca="true" t="shared" si="8" ref="E34:J34">(E33*0.02)</f>
        <v>143.108734</v>
      </c>
      <c r="F34" s="58">
        <f t="shared" si="8"/>
        <v>4.285793</v>
      </c>
      <c r="G34" s="58">
        <f t="shared" si="8"/>
        <v>4.624407</v>
      </c>
      <c r="H34" s="59">
        <f t="shared" si="8"/>
        <v>150.01561880000003</v>
      </c>
      <c r="I34" s="58">
        <f t="shared" si="8"/>
        <v>20.079566</v>
      </c>
      <c r="J34" s="58">
        <f t="shared" si="8"/>
        <v>170.0985</v>
      </c>
      <c r="K34" s="67">
        <f>+J34/J36</f>
        <v>0.01815541031227306</v>
      </c>
      <c r="L34" s="79">
        <f>+J34+J35</f>
        <v>864.1003799999999</v>
      </c>
      <c r="M34" s="19"/>
      <c r="N34" s="18"/>
      <c r="O34" s="14"/>
      <c r="Q34" s="14"/>
    </row>
    <row r="35" spans="1:17" ht="15" customHeight="1" thickBot="1">
      <c r="A35" s="73" t="s">
        <v>55</v>
      </c>
      <c r="B35" s="74"/>
      <c r="C35" s="74"/>
      <c r="D35" s="74"/>
      <c r="E35" s="58">
        <f aca="true" t="shared" si="9" ref="E35:J35">SUM(E33:E34)*0.08</f>
        <v>583.88363472</v>
      </c>
      <c r="F35" s="58">
        <f t="shared" si="9"/>
        <v>17.486035440000002</v>
      </c>
      <c r="G35" s="58">
        <f t="shared" si="9"/>
        <v>18.86758056</v>
      </c>
      <c r="H35" s="59">
        <f t="shared" si="9"/>
        <v>612.063724704</v>
      </c>
      <c r="I35" s="58">
        <f t="shared" si="9"/>
        <v>81.92462928</v>
      </c>
      <c r="J35" s="58">
        <f t="shared" si="9"/>
        <v>694.0018799999999</v>
      </c>
      <c r="K35" s="67">
        <f>+J35/J36</f>
        <v>0.07407407407407407</v>
      </c>
      <c r="M35" s="19"/>
      <c r="N35" s="18"/>
      <c r="O35" s="14"/>
      <c r="Q35" s="14"/>
    </row>
    <row r="36" spans="1:17" ht="15.75" customHeight="1" thickBot="1">
      <c r="A36" s="80" t="s">
        <v>37</v>
      </c>
      <c r="B36" s="81"/>
      <c r="C36" s="81"/>
      <c r="D36" s="81"/>
      <c r="E36" s="82">
        <f aca="true" t="shared" si="10" ref="E36:J36">SUM(E33:E35)</f>
        <v>7882.429068720001</v>
      </c>
      <c r="F36" s="82">
        <f t="shared" si="10"/>
        <v>236.06147844</v>
      </c>
      <c r="G36" s="82">
        <f t="shared" si="10"/>
        <v>254.71233755999998</v>
      </c>
      <c r="H36" s="83">
        <f t="shared" si="10"/>
        <v>8262.860283504</v>
      </c>
      <c r="I36" s="82">
        <f t="shared" si="10"/>
        <v>1105.9824952800002</v>
      </c>
      <c r="J36" s="84">
        <f t="shared" si="10"/>
        <v>9369.02538</v>
      </c>
      <c r="K36" s="85">
        <f>+K3+K15+K34+K35+K33</f>
        <v>1</v>
      </c>
      <c r="M36" s="17"/>
      <c r="N36" s="13"/>
      <c r="O36" s="17"/>
      <c r="Q36" s="14"/>
    </row>
    <row r="37" spans="1:14" s="2" customFormat="1" ht="13.5" customHeight="1">
      <c r="A37" s="24" t="s">
        <v>48</v>
      </c>
      <c r="B37" s="25"/>
      <c r="C37" s="25"/>
      <c r="D37" s="25"/>
      <c r="E37" s="26"/>
      <c r="F37" s="26"/>
      <c r="G37" s="26"/>
      <c r="H37" s="27"/>
      <c r="I37" s="26"/>
      <c r="J37" s="28">
        <v>150</v>
      </c>
      <c r="K37" s="34"/>
      <c r="L37" s="29"/>
      <c r="M37" s="12"/>
      <c r="N37" s="12"/>
    </row>
    <row r="38" spans="1:14" s="2" customFormat="1" ht="40.5" customHeight="1">
      <c r="A38" s="104" t="s">
        <v>57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34"/>
      <c r="L38" s="29"/>
      <c r="M38" s="12"/>
      <c r="N38" s="12"/>
    </row>
    <row r="39" spans="1:12" s="7" customFormat="1" ht="15.75" customHeight="1">
      <c r="A39" s="101" t="s">
        <v>47</v>
      </c>
      <c r="B39" s="101"/>
      <c r="C39" s="101"/>
      <c r="D39" s="101"/>
      <c r="E39" s="101"/>
      <c r="F39" s="101"/>
      <c r="G39" s="101"/>
      <c r="H39" s="101"/>
      <c r="I39" s="101"/>
      <c r="J39" s="101"/>
      <c r="K39" s="34"/>
      <c r="L39" s="30"/>
    </row>
    <row r="40" spans="1:12" s="7" customFormat="1" ht="15.75" customHeight="1">
      <c r="A40" s="102" t="s">
        <v>44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34"/>
      <c r="L40" s="30"/>
    </row>
    <row r="41" spans="1:12" s="7" customFormat="1" ht="12.75" customHeight="1">
      <c r="A41" s="30" t="s">
        <v>45</v>
      </c>
      <c r="B41" s="30"/>
      <c r="C41" s="31"/>
      <c r="D41" s="32"/>
      <c r="E41" s="30"/>
      <c r="F41" s="30"/>
      <c r="G41" s="31"/>
      <c r="H41" s="32"/>
      <c r="I41" s="33"/>
      <c r="J41" s="30"/>
      <c r="K41" s="30"/>
      <c r="L41" s="30"/>
    </row>
    <row r="42" spans="1:12" ht="13.5">
      <c r="A42" s="103" t="s">
        <v>46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1:12" s="7" customFormat="1" ht="13.5">
      <c r="A43" s="30" t="s">
        <v>50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s="7" customFormat="1" ht="13.5">
      <c r="A44" s="30" t="s">
        <v>49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1" ht="13.5">
      <c r="A47" s="96" t="s">
        <v>54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9" ht="12.75">
      <c r="D49" s="8"/>
    </row>
    <row r="54" spans="2:4" ht="12.75">
      <c r="B54" s="9"/>
      <c r="D54" s="9"/>
    </row>
    <row r="55" spans="2:4" ht="12.75">
      <c r="B55" s="9"/>
      <c r="D55" s="9"/>
    </row>
    <row r="56" ht="12.75">
      <c r="D56" s="9"/>
    </row>
    <row r="57" spans="4:10" ht="12.75">
      <c r="D57" s="9"/>
      <c r="E57" s="9"/>
      <c r="F57" s="9"/>
      <c r="G57" s="9"/>
      <c r="H57" s="22"/>
      <c r="I57" s="9"/>
      <c r="J57" s="9"/>
    </row>
    <row r="58" spans="4:10" ht="12.75">
      <c r="D58" s="9"/>
      <c r="E58" s="9"/>
      <c r="F58" s="9"/>
      <c r="G58" s="9"/>
      <c r="H58" s="22"/>
      <c r="I58" s="9"/>
      <c r="J58" s="9"/>
    </row>
    <row r="59" spans="4:10" ht="12.75">
      <c r="D59" s="9"/>
      <c r="E59" s="9"/>
      <c r="F59" s="9"/>
      <c r="G59" s="9"/>
      <c r="H59" s="22"/>
      <c r="I59" s="9"/>
      <c r="J59" s="9"/>
    </row>
    <row r="60" spans="4:10" ht="12.75">
      <c r="D60" s="9"/>
      <c r="E60" s="9"/>
      <c r="F60" s="9"/>
      <c r="G60" s="9"/>
      <c r="H60" s="22"/>
      <c r="I60" s="9"/>
      <c r="J60" s="9"/>
    </row>
    <row r="61" spans="4:10" ht="12.75">
      <c r="D61" s="9"/>
      <c r="E61" s="9"/>
      <c r="F61" s="9"/>
      <c r="G61" s="9"/>
      <c r="H61" s="22"/>
      <c r="I61" s="9"/>
      <c r="J61" s="9"/>
    </row>
    <row r="62" spans="4:10" ht="12.75">
      <c r="D62" s="9"/>
      <c r="E62" s="9"/>
      <c r="F62" s="9"/>
      <c r="G62" s="9"/>
      <c r="H62" s="22"/>
      <c r="I62" s="9"/>
      <c r="J62" s="9"/>
    </row>
    <row r="63" spans="4:10" ht="12.75">
      <c r="D63" s="9"/>
      <c r="E63" s="9"/>
      <c r="F63" s="9"/>
      <c r="G63" s="9"/>
      <c r="H63" s="22"/>
      <c r="I63" s="9"/>
      <c r="J63" s="9"/>
    </row>
    <row r="64" spans="2:10" ht="12.75">
      <c r="B64" s="10"/>
      <c r="D64" s="9"/>
      <c r="E64" s="9"/>
      <c r="F64" s="9"/>
      <c r="G64" s="9"/>
      <c r="H64" s="22"/>
      <c r="I64" s="9"/>
      <c r="J64" s="9"/>
    </row>
    <row r="65" spans="2:10" ht="12.75">
      <c r="B65" s="10"/>
      <c r="D65" s="9"/>
      <c r="E65" s="9"/>
      <c r="F65" s="9"/>
      <c r="G65" s="9"/>
      <c r="H65" s="22"/>
      <c r="I65" s="9"/>
      <c r="J65" s="9"/>
    </row>
    <row r="66" spans="2:10" ht="12.75">
      <c r="B66" s="10"/>
      <c r="D66" s="9"/>
      <c r="E66" s="9"/>
      <c r="F66" s="9"/>
      <c r="G66" s="9"/>
      <c r="H66" s="22"/>
      <c r="I66" s="9"/>
      <c r="J66" s="9"/>
    </row>
    <row r="67" spans="4:10" ht="12.75">
      <c r="D67" s="9"/>
      <c r="E67" s="9"/>
      <c r="F67" s="9"/>
      <c r="G67" s="9"/>
      <c r="H67" s="22"/>
      <c r="I67" s="9"/>
      <c r="J67" s="9"/>
    </row>
    <row r="68" spans="4:10" ht="12.75">
      <c r="D68" s="9"/>
      <c r="E68" s="9"/>
      <c r="F68" s="9"/>
      <c r="G68" s="9"/>
      <c r="H68" s="22"/>
      <c r="I68" s="9"/>
      <c r="J68" s="9"/>
    </row>
    <row r="69" spans="2:10" ht="12.75">
      <c r="B69" s="10"/>
      <c r="D69" s="9"/>
      <c r="E69" s="9"/>
      <c r="F69" s="9"/>
      <c r="G69" s="9"/>
      <c r="H69" s="22"/>
      <c r="I69" s="9"/>
      <c r="J69" s="9"/>
    </row>
    <row r="70" spans="2:10" ht="12.75">
      <c r="B70" s="10"/>
      <c r="D70" s="9"/>
      <c r="E70" s="9"/>
      <c r="F70" s="9"/>
      <c r="G70" s="9"/>
      <c r="H70" s="22"/>
      <c r="I70" s="9"/>
      <c r="J70" s="9"/>
    </row>
    <row r="71" spans="2:10" ht="12.75">
      <c r="B71" s="10"/>
      <c r="D71" s="9"/>
      <c r="E71" s="9"/>
      <c r="F71" s="9"/>
      <c r="G71" s="9"/>
      <c r="H71" s="22"/>
      <c r="I71" s="9"/>
      <c r="J71" s="9"/>
    </row>
    <row r="72" spans="2:10" ht="12.75">
      <c r="B72" s="10"/>
      <c r="D72" s="9"/>
      <c r="E72" s="9"/>
      <c r="F72" s="9"/>
      <c r="G72" s="9"/>
      <c r="H72" s="22"/>
      <c r="I72" s="9"/>
      <c r="J72" s="9"/>
    </row>
    <row r="73" spans="2:10" ht="12.75">
      <c r="B73" s="10"/>
      <c r="D73" s="9"/>
      <c r="E73" s="9"/>
      <c r="F73" s="9"/>
      <c r="G73" s="9"/>
      <c r="H73" s="22"/>
      <c r="I73" s="9"/>
      <c r="J73" s="9"/>
    </row>
    <row r="74" spans="2:10" ht="12.75">
      <c r="B74" s="10"/>
      <c r="D74" s="9"/>
      <c r="E74" s="9"/>
      <c r="F74" s="9"/>
      <c r="G74" s="9"/>
      <c r="H74" s="22"/>
      <c r="I74" s="9"/>
      <c r="J74" s="9"/>
    </row>
    <row r="75" spans="2:10" ht="12.75">
      <c r="B75" s="10"/>
      <c r="D75" s="9"/>
      <c r="E75" s="9"/>
      <c r="F75" s="9"/>
      <c r="G75" s="9"/>
      <c r="H75" s="22"/>
      <c r="I75" s="9"/>
      <c r="J75" s="9"/>
    </row>
    <row r="76" spans="2:10" ht="12.75">
      <c r="B76" s="10"/>
      <c r="D76" s="9"/>
      <c r="E76" s="9"/>
      <c r="F76" s="9"/>
      <c r="G76" s="9"/>
      <c r="H76" s="22"/>
      <c r="I76" s="9"/>
      <c r="J76" s="9"/>
    </row>
    <row r="77" spans="2:10" ht="12.75">
      <c r="B77" s="10"/>
      <c r="D77" s="9"/>
      <c r="E77" s="9"/>
      <c r="F77" s="9"/>
      <c r="G77" s="9"/>
      <c r="H77" s="22"/>
      <c r="I77" s="9"/>
      <c r="J77" s="9"/>
    </row>
    <row r="78" spans="2:10" ht="12.75">
      <c r="B78" s="10"/>
      <c r="D78" s="9"/>
      <c r="E78" s="9"/>
      <c r="F78" s="9"/>
      <c r="G78" s="9"/>
      <c r="H78" s="22"/>
      <c r="I78" s="9"/>
      <c r="J78" s="9"/>
    </row>
  </sheetData>
  <sheetProtection/>
  <mergeCells count="8">
    <mergeCell ref="A2:K2"/>
    <mergeCell ref="A47:K47"/>
    <mergeCell ref="K5:K6"/>
    <mergeCell ref="H5:H6"/>
    <mergeCell ref="A39:J39"/>
    <mergeCell ref="A40:J40"/>
    <mergeCell ref="A42:L42"/>
    <mergeCell ref="A38:J38"/>
  </mergeCells>
  <printOptions/>
  <pageMargins left="1.42" right="0.1968503937007874" top="0.43" bottom="0.4724409448818898" header="0.11811023622047245" footer="0.2755905511811024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Karisovic</cp:lastModifiedBy>
  <cp:lastPrinted>2017-04-25T15:50:08Z</cp:lastPrinted>
  <dcterms:created xsi:type="dcterms:W3CDTF">2007-12-07T15:05:29Z</dcterms:created>
  <dcterms:modified xsi:type="dcterms:W3CDTF">2019-09-04T16:47:50Z</dcterms:modified>
  <cp:category/>
  <cp:version/>
  <cp:contentType/>
  <cp:contentStatus/>
</cp:coreProperties>
</file>