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<sst xmlns="http://schemas.openxmlformats.org/spreadsheetml/2006/main" count="73" uniqueCount="58">
  <si>
    <t xml:space="preserve">  ESTIMADO DE COSTO DE PRODUCCION PARA LA EXPLOTACION DE UNA TAREA  DE ZAPOTE</t>
  </si>
  <si>
    <t xml:space="preserve">Valor </t>
  </si>
  <si>
    <t>1er. Año</t>
  </si>
  <si>
    <t>2do. Año</t>
  </si>
  <si>
    <t>3er. Año</t>
  </si>
  <si>
    <t>4-10 Año</t>
  </si>
  <si>
    <t>Costo</t>
  </si>
  <si>
    <t>Actividad</t>
  </si>
  <si>
    <t>Mes</t>
  </si>
  <si>
    <t>Unidad</t>
  </si>
  <si>
    <t>Unitario</t>
  </si>
  <si>
    <t>Total</t>
  </si>
  <si>
    <t>1- INSUMOS</t>
  </si>
  <si>
    <t>Planta</t>
  </si>
  <si>
    <t xml:space="preserve">      (15-15-15)</t>
  </si>
  <si>
    <t>Quintal</t>
  </si>
  <si>
    <t xml:space="preserve">      (Azodrín 60)</t>
  </si>
  <si>
    <t>Litro</t>
  </si>
  <si>
    <t xml:space="preserve">      (Dithane M-45)</t>
  </si>
  <si>
    <t>Kilo</t>
  </si>
  <si>
    <t>2-  PREPARACION DEL TERRENO</t>
  </si>
  <si>
    <t>Tarea</t>
  </si>
  <si>
    <t>3-  MANO DE OBRA</t>
  </si>
  <si>
    <t>Hom-Día</t>
  </si>
  <si>
    <t xml:space="preserve">   SUBTOTAL</t>
  </si>
  <si>
    <t xml:space="preserve">   GASTOS ADMINISTRATIVOS (2%)</t>
  </si>
  <si>
    <t xml:space="preserve">   TOTAL GENERAL</t>
  </si>
  <si>
    <t>Cant,</t>
  </si>
  <si>
    <t>Participación (%) por Acticidad</t>
  </si>
  <si>
    <t>Total Costo Fomento</t>
  </si>
  <si>
    <t>Las unidades de médida expresadas en los insumos corresponde a la forma en la que los productores  la obtienen de los puntos de venta o agroquímicas.</t>
  </si>
  <si>
    <t>Una Hectárea equivale a 15.9 tareas.</t>
  </si>
  <si>
    <t xml:space="preserve">Notas:  </t>
  </si>
  <si>
    <t>El uso de una "MARCA DE FABRICA" no constituye una recomendación del producto, sino lo que informaron los productores.</t>
  </si>
  <si>
    <t xml:space="preserve">               Estimados por la División de Estudios Económicos.-</t>
  </si>
  <si>
    <t>Fuente:  Ministerio de Agricultura, Departamento de Economía Agropecuaria.</t>
  </si>
  <si>
    <t>COSTO FOMENTO: desde el año 1 al 3  Y COSTO MANTENIMIENTO:  del cuarto año en adelante.</t>
  </si>
  <si>
    <t>1.Compra de Plántulas de Siembra</t>
  </si>
  <si>
    <t>2. Compra para la Resiembra</t>
  </si>
  <si>
    <t xml:space="preserve">3.Compra de Fertilizante </t>
  </si>
  <si>
    <t xml:space="preserve">4. Compra de Insecticida </t>
  </si>
  <si>
    <t>5. Compra de Fungicida</t>
  </si>
  <si>
    <t>1. Corte (Mecanizado)</t>
  </si>
  <si>
    <t>2.Cruce (Mecanizado)</t>
  </si>
  <si>
    <t>3. Rastra (Mecanicado)</t>
  </si>
  <si>
    <t>1.Marcado y Alineación</t>
  </si>
  <si>
    <t>2. Transporte de Planta</t>
  </si>
  <si>
    <t>3. Construcción de Hoyos Siembra</t>
  </si>
  <si>
    <t>4.Construccion de Hoyos Resiembra</t>
  </si>
  <si>
    <t>5. Transporte de Fertilizantes</t>
  </si>
  <si>
    <t>6. Aplicación de Fertilizantes</t>
  </si>
  <si>
    <t>7.  Aplicación de Pesticidas</t>
  </si>
  <si>
    <t>8. Desyerbo</t>
  </si>
  <si>
    <t>9. Recolección y Empaque</t>
  </si>
  <si>
    <t>Página 168</t>
  </si>
  <si>
    <t xml:space="preserve">   GASTOS INTERESES 8.0% ANUAL (12 meses 8.0%)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</si>
  <si>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Precios de los insumos actualizados a mayo, 2019.</t>
  </si>
  <si>
    <t xml:space="preserve">  REPUBLICA DOMINICANA, 2019 (En RD$)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</si>
</sst>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0.0000_)"/>
    <numFmt numFmtId="189" formatCode="_(* #,##0.0000_);_(* \(#,##0.0000\);_(* &quot;-&quot;??_);_(@_)"/>
    <numFmt numFmtId="190" formatCode="#,##0.0\ _€;\-#,##0.0\ _€"/>
    <numFmt numFmtId="191" formatCode="#,##0.00_ ;\-#,##0.00\ "/>
    <numFmt numFmtId="192" formatCode="0_)"/>
  </numFmts>
  <fonts count="52">
    <font>
      <sz val="10"/>
      <name val="Arial"/>
      <family val="0"/>
    </font>
    <font>
      <sz val="10"/>
      <name val="Baskerville Old Face"/>
      <family val="1"/>
    </font>
    <font>
      <sz val="9"/>
      <name val="Baskerville Old Face"/>
      <family val="1"/>
    </font>
    <font>
      <b/>
      <sz val="9"/>
      <name val="Baskerville Old Face"/>
      <family val="1"/>
    </font>
    <font>
      <b/>
      <sz val="10"/>
      <name val="Baskerville Old Face"/>
      <family val="1"/>
    </font>
    <font>
      <sz val="8"/>
      <name val="Arial"/>
      <family val="2"/>
    </font>
    <font>
      <sz val="10"/>
      <color indexed="9"/>
      <name val="Baskerville Old Face"/>
      <family val="1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b/>
      <sz val="11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Baskerville Old Face"/>
      <family val="1"/>
    </font>
    <font>
      <sz val="10"/>
      <color indexed="8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Baskerville Old Face"/>
      <family val="1"/>
    </font>
    <font>
      <b/>
      <sz val="10"/>
      <color theme="0"/>
      <name val="Baskerville Old Face"/>
      <family val="1"/>
    </font>
    <font>
      <sz val="10"/>
      <color theme="1"/>
      <name val="Baskerville Old Fa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87" fontId="1" fillId="0" borderId="0" xfId="0" applyNumberFormat="1" applyFont="1" applyAlignment="1" applyProtection="1">
      <alignment/>
      <protection/>
    </xf>
    <xf numFmtId="188" fontId="1" fillId="0" borderId="0" xfId="0" applyNumberFormat="1" applyFont="1" applyAlignment="1" applyProtection="1">
      <alignment/>
      <protection/>
    </xf>
    <xf numFmtId="187" fontId="1" fillId="0" borderId="0" xfId="0" applyNumberFormat="1" applyFont="1" applyAlignment="1">
      <alignment/>
    </xf>
    <xf numFmtId="43" fontId="4" fillId="0" borderId="0" xfId="47" applyFont="1" applyAlignment="1">
      <alignment/>
    </xf>
    <xf numFmtId="43" fontId="4" fillId="0" borderId="0" xfId="47" applyFont="1" applyAlignment="1" applyProtection="1">
      <alignment/>
      <protection/>
    </xf>
    <xf numFmtId="0" fontId="8" fillId="0" borderId="0" xfId="0" applyFont="1" applyAlignment="1">
      <alignment/>
    </xf>
    <xf numFmtId="43" fontId="8" fillId="0" borderId="0" xfId="47" applyFont="1" applyAlignment="1">
      <alignment/>
    </xf>
    <xf numFmtId="43" fontId="8" fillId="0" borderId="0" xfId="0" applyNumberFormat="1" applyFont="1" applyAlignment="1">
      <alignment/>
    </xf>
    <xf numFmtId="0" fontId="7" fillId="33" borderId="0" xfId="0" applyNumberFormat="1" applyFont="1" applyFill="1" applyAlignment="1">
      <alignment/>
    </xf>
    <xf numFmtId="7" fontId="7" fillId="33" borderId="0" xfId="0" applyNumberFormat="1" applyFont="1" applyFill="1" applyAlignment="1" applyProtection="1">
      <alignment/>
      <protection/>
    </xf>
    <xf numFmtId="10" fontId="7" fillId="33" borderId="0" xfId="0" applyNumberFormat="1" applyFont="1" applyFill="1" applyAlignment="1" applyProtection="1">
      <alignment/>
      <protection/>
    </xf>
    <xf numFmtId="192" fontId="7" fillId="33" borderId="0" xfId="0" applyNumberFormat="1" applyFont="1" applyFill="1" applyAlignment="1" applyProtection="1">
      <alignment/>
      <protection/>
    </xf>
    <xf numFmtId="0" fontId="49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43" fontId="9" fillId="33" borderId="0" xfId="47" applyFont="1" applyFill="1" applyAlignment="1">
      <alignment horizontal="left"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center"/>
      <protection/>
    </xf>
    <xf numFmtId="43" fontId="3" fillId="33" borderId="11" xfId="47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9" fontId="1" fillId="33" borderId="13" xfId="53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43" fontId="3" fillId="33" borderId="12" xfId="47" applyFont="1" applyFill="1" applyBorder="1" applyAlignment="1">
      <alignment/>
    </xf>
    <xf numFmtId="187" fontId="2" fillId="33" borderId="11" xfId="0" applyNumberFormat="1" applyFont="1" applyFill="1" applyBorder="1" applyAlignment="1" applyProtection="1">
      <alignment/>
      <protection/>
    </xf>
    <xf numFmtId="43" fontId="3" fillId="33" borderId="11" xfId="47" applyFont="1" applyFill="1" applyBorder="1" applyAlignment="1">
      <alignment/>
    </xf>
    <xf numFmtId="187" fontId="2" fillId="33" borderId="12" xfId="0" applyNumberFormat="1" applyFont="1" applyFill="1" applyBorder="1" applyAlignment="1" applyProtection="1">
      <alignment/>
      <protection/>
    </xf>
    <xf numFmtId="0" fontId="2" fillId="33" borderId="12" xfId="0" applyFont="1" applyFill="1" applyBorder="1" applyAlignment="1">
      <alignment/>
    </xf>
    <xf numFmtId="189" fontId="7" fillId="33" borderId="12" xfId="47" applyNumberFormat="1" applyFont="1" applyFill="1" applyBorder="1" applyAlignment="1" applyProtection="1">
      <alignment/>
      <protection/>
    </xf>
    <xf numFmtId="188" fontId="2" fillId="33" borderId="11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/>
    </xf>
    <xf numFmtId="187" fontId="3" fillId="33" borderId="12" xfId="0" applyNumberFormat="1" applyFont="1" applyFill="1" applyBorder="1" applyAlignment="1" applyProtection="1">
      <alignment/>
      <protection/>
    </xf>
    <xf numFmtId="43" fontId="3" fillId="33" borderId="12" xfId="47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2" fillId="33" borderId="15" xfId="0" applyFont="1" applyFill="1" applyBorder="1" applyAlignment="1">
      <alignment/>
    </xf>
    <xf numFmtId="188" fontId="2" fillId="33" borderId="15" xfId="0" applyNumberFormat="1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center"/>
      <protection/>
    </xf>
    <xf numFmtId="187" fontId="2" fillId="33" borderId="15" xfId="0" applyNumberFormat="1" applyFont="1" applyFill="1" applyBorder="1" applyAlignment="1" applyProtection="1">
      <alignment/>
      <protection/>
    </xf>
    <xf numFmtId="43" fontId="3" fillId="33" borderId="15" xfId="47" applyFont="1" applyFill="1" applyBorder="1" applyAlignment="1">
      <alignment/>
    </xf>
    <xf numFmtId="187" fontId="2" fillId="33" borderId="16" xfId="0" applyNumberFormat="1" applyFont="1" applyFill="1" applyBorder="1" applyAlignment="1" applyProtection="1">
      <alignment/>
      <protection/>
    </xf>
    <xf numFmtId="9" fontId="1" fillId="33" borderId="17" xfId="53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90" fontId="3" fillId="33" borderId="0" xfId="0" applyNumberFormat="1" applyFont="1" applyFill="1" applyBorder="1" applyAlignment="1" applyProtection="1">
      <alignment/>
      <protection/>
    </xf>
    <xf numFmtId="39" fontId="3" fillId="33" borderId="0" xfId="0" applyNumberFormat="1" applyFont="1" applyFill="1" applyBorder="1" applyAlignment="1" applyProtection="1">
      <alignment/>
      <protection/>
    </xf>
    <xf numFmtId="43" fontId="3" fillId="33" borderId="0" xfId="47" applyFont="1" applyFill="1" applyBorder="1" applyAlignment="1" applyProtection="1">
      <alignment/>
      <protection/>
    </xf>
    <xf numFmtId="39" fontId="3" fillId="33" borderId="13" xfId="0" applyNumberFormat="1" applyFont="1" applyFill="1" applyBorder="1" applyAlignment="1" applyProtection="1">
      <alignment/>
      <protection/>
    </xf>
    <xf numFmtId="0" fontId="1" fillId="33" borderId="0" xfId="0" applyFont="1" applyFill="1" applyAlignment="1">
      <alignment/>
    </xf>
    <xf numFmtId="39" fontId="2" fillId="33" borderId="0" xfId="0" applyNumberFormat="1" applyFont="1" applyFill="1" applyBorder="1" applyAlignment="1" applyProtection="1">
      <alignment/>
      <protection/>
    </xf>
    <xf numFmtId="39" fontId="2" fillId="33" borderId="13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Alignment="1" applyProtection="1">
      <alignment horizontal="left"/>
      <protection/>
    </xf>
    <xf numFmtId="0" fontId="49" fillId="33" borderId="0" xfId="0" applyFont="1" applyFill="1" applyAlignment="1">
      <alignment/>
    </xf>
    <xf numFmtId="43" fontId="4" fillId="33" borderId="0" xfId="47" applyFont="1" applyFill="1" applyAlignment="1">
      <alignment/>
    </xf>
    <xf numFmtId="0" fontId="12" fillId="33" borderId="0" xfId="0" applyFont="1" applyFill="1" applyAlignment="1" applyProtection="1">
      <alignment horizontal="center" vertical="center"/>
      <protection/>
    </xf>
    <xf numFmtId="0" fontId="49" fillId="33" borderId="0" xfId="0" applyFont="1" applyFill="1" applyBorder="1" applyAlignment="1">
      <alignment horizontal="centerContinuous"/>
    </xf>
    <xf numFmtId="43" fontId="50" fillId="33" borderId="0" xfId="47" applyFont="1" applyFill="1" applyBorder="1" applyAlignment="1">
      <alignment horizontal="centerContinuous"/>
    </xf>
    <xf numFmtId="0" fontId="8" fillId="33" borderId="0" xfId="0" applyFont="1" applyFill="1" applyAlignment="1">
      <alignment/>
    </xf>
    <xf numFmtId="9" fontId="3" fillId="33" borderId="18" xfId="53" applyFont="1" applyFill="1" applyBorder="1" applyAlignment="1">
      <alignment horizontal="center"/>
    </xf>
    <xf numFmtId="9" fontId="3" fillId="33" borderId="18" xfId="53" applyFont="1" applyFill="1" applyBorder="1" applyAlignment="1" applyProtection="1">
      <alignment horizontal="center"/>
      <protection/>
    </xf>
    <xf numFmtId="39" fontId="3" fillId="33" borderId="13" xfId="0" applyNumberFormat="1" applyFont="1" applyFill="1" applyBorder="1" applyAlignment="1" applyProtection="1">
      <alignment horizontal="center"/>
      <protection/>
    </xf>
    <xf numFmtId="39" fontId="2" fillId="33" borderId="13" xfId="0" applyNumberFormat="1" applyFont="1" applyFill="1" applyBorder="1" applyAlignment="1" applyProtection="1">
      <alignment horizontal="center"/>
      <protection/>
    </xf>
    <xf numFmtId="0" fontId="51" fillId="0" borderId="0" xfId="0" applyFont="1" applyAlignment="1">
      <alignment/>
    </xf>
    <xf numFmtId="39" fontId="49" fillId="0" borderId="0" xfId="0" applyNumberFormat="1" applyFont="1" applyAlignment="1">
      <alignment/>
    </xf>
    <xf numFmtId="0" fontId="12" fillId="34" borderId="0" xfId="0" applyFont="1" applyFill="1" applyAlignment="1" applyProtection="1">
      <alignment horizontal="center" vertical="center"/>
      <protection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>
      <alignment vertical="center"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left"/>
      <protection/>
    </xf>
    <xf numFmtId="0" fontId="3" fillId="34" borderId="23" xfId="0" applyFont="1" applyFill="1" applyBorder="1" applyAlignment="1">
      <alignment/>
    </xf>
    <xf numFmtId="190" fontId="3" fillId="34" borderId="23" xfId="0" applyNumberFormat="1" applyFont="1" applyFill="1" applyBorder="1" applyAlignment="1" applyProtection="1">
      <alignment/>
      <protection/>
    </xf>
    <xf numFmtId="39" fontId="3" fillId="34" borderId="23" xfId="0" applyNumberFormat="1" applyFont="1" applyFill="1" applyBorder="1" applyAlignment="1" applyProtection="1">
      <alignment/>
      <protection/>
    </xf>
    <xf numFmtId="43" fontId="3" fillId="34" borderId="23" xfId="47" applyFont="1" applyFill="1" applyBorder="1" applyAlignment="1" applyProtection="1">
      <alignment/>
      <protection/>
    </xf>
    <xf numFmtId="39" fontId="3" fillId="34" borderId="24" xfId="0" applyNumberFormat="1" applyFont="1" applyFill="1" applyBorder="1" applyAlignment="1" applyProtection="1">
      <alignment/>
      <protection/>
    </xf>
    <xf numFmtId="9" fontId="3" fillId="34" borderId="24" xfId="53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>
      <alignment horizontal="center" vertical="justify"/>
    </xf>
    <xf numFmtId="0" fontId="4" fillId="34" borderId="18" xfId="0" applyFont="1" applyFill="1" applyBorder="1" applyAlignment="1">
      <alignment horizontal="center" vertical="justify"/>
    </xf>
    <xf numFmtId="0" fontId="4" fillId="34" borderId="26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center"/>
      <protection/>
    </xf>
    <xf numFmtId="43" fontId="11" fillId="34" borderId="21" xfId="47" applyFont="1" applyFill="1" applyBorder="1" applyAlignment="1" applyProtection="1">
      <alignment horizontal="center" vertical="justify"/>
      <protection/>
    </xf>
    <xf numFmtId="43" fontId="11" fillId="34" borderId="12" xfId="47" applyFont="1" applyFill="1" applyBorder="1" applyAlignment="1" applyProtection="1">
      <alignment horizontal="center" vertical="justify"/>
      <protection/>
    </xf>
    <xf numFmtId="43" fontId="11" fillId="34" borderId="16" xfId="47" applyFont="1" applyFill="1" applyBorder="1" applyAlignment="1" applyProtection="1">
      <alignment horizontal="center" vertical="justify"/>
      <protection/>
    </xf>
    <xf numFmtId="0" fontId="7" fillId="33" borderId="0" xfId="0" applyNumberFormat="1" applyFont="1" applyFill="1" applyAlignment="1" applyProtection="1">
      <alignment horizontal="left"/>
      <protection/>
    </xf>
    <xf numFmtId="0" fontId="7" fillId="33" borderId="0" xfId="0" applyNumberFormat="1" applyFont="1" applyFill="1" applyAlignment="1" applyProtection="1">
      <alignment horizontal="left" wrapText="1"/>
      <protection/>
    </xf>
    <xf numFmtId="0" fontId="7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6">
      <selection activeCell="E28" sqref="E28"/>
    </sheetView>
  </sheetViews>
  <sheetFormatPr defaultColWidth="11.00390625" defaultRowHeight="12.75"/>
  <cols>
    <col min="1" max="1" width="31.140625" style="1" customWidth="1"/>
    <col min="2" max="3" width="7.140625" style="1" customWidth="1"/>
    <col min="4" max="4" width="8.00390625" style="1" customWidth="1"/>
    <col min="5" max="5" width="7.140625" style="1" customWidth="1"/>
    <col min="6" max="6" width="10.421875" style="1" customWidth="1"/>
    <col min="7" max="7" width="12.28125" style="1" customWidth="1"/>
    <col min="8" max="8" width="9.7109375" style="1" customWidth="1"/>
    <col min="9" max="9" width="11.140625" style="6" customWidth="1"/>
    <col min="10" max="10" width="12.140625" style="1" customWidth="1"/>
    <col min="11" max="11" width="12.8515625" style="1" customWidth="1"/>
    <col min="12" max="12" width="13.140625" style="1" customWidth="1"/>
    <col min="13" max="16384" width="11.00390625" style="1" customWidth="1"/>
  </cols>
  <sheetData>
    <row r="1" spans="1:12" ht="4.5" customHeight="1">
      <c r="A1" s="51"/>
      <c r="B1" s="51"/>
      <c r="C1" s="51"/>
      <c r="D1" s="51"/>
      <c r="E1" s="51"/>
      <c r="F1" s="51"/>
      <c r="G1" s="51"/>
      <c r="H1" s="51"/>
      <c r="I1" s="56"/>
      <c r="J1" s="51"/>
      <c r="K1" s="51"/>
      <c r="L1" s="51"/>
    </row>
    <row r="2" spans="1:12" ht="16.5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5" customHeight="1">
      <c r="A3" s="92" t="s">
        <v>57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3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3.75" customHeight="1" thickBot="1">
      <c r="A6" s="58"/>
      <c r="B6" s="58"/>
      <c r="C6" s="58"/>
      <c r="D6" s="58"/>
      <c r="E6" s="58"/>
      <c r="F6" s="58"/>
      <c r="G6" s="58"/>
      <c r="H6" s="58"/>
      <c r="I6" s="59"/>
      <c r="J6" s="58"/>
      <c r="K6" s="58"/>
      <c r="L6" s="55"/>
    </row>
    <row r="7" spans="1:12" ht="6.75" customHeight="1">
      <c r="A7" s="68"/>
      <c r="B7" s="69"/>
      <c r="C7" s="69"/>
      <c r="D7" s="69"/>
      <c r="E7" s="69"/>
      <c r="F7" s="77"/>
      <c r="G7" s="77"/>
      <c r="H7" s="77"/>
      <c r="I7" s="93" t="s">
        <v>29</v>
      </c>
      <c r="J7" s="70"/>
      <c r="K7" s="71"/>
      <c r="L7" s="89" t="s">
        <v>28</v>
      </c>
    </row>
    <row r="8" spans="1:12" ht="13.5" customHeight="1">
      <c r="A8" s="72"/>
      <c r="B8" s="73"/>
      <c r="C8" s="73"/>
      <c r="D8" s="73"/>
      <c r="E8" s="74" t="s">
        <v>1</v>
      </c>
      <c r="F8" s="78" t="s">
        <v>2</v>
      </c>
      <c r="G8" s="78" t="s">
        <v>3</v>
      </c>
      <c r="H8" s="78" t="s">
        <v>4</v>
      </c>
      <c r="I8" s="94"/>
      <c r="J8" s="78" t="s">
        <v>5</v>
      </c>
      <c r="K8" s="79" t="s">
        <v>6</v>
      </c>
      <c r="L8" s="90"/>
    </row>
    <row r="9" spans="1:12" ht="31.5" customHeight="1" thickBot="1">
      <c r="A9" s="75" t="s">
        <v>7</v>
      </c>
      <c r="B9" s="76" t="s">
        <v>8</v>
      </c>
      <c r="C9" s="76" t="s">
        <v>27</v>
      </c>
      <c r="D9" s="76" t="s">
        <v>9</v>
      </c>
      <c r="E9" s="76" t="s">
        <v>10</v>
      </c>
      <c r="F9" s="76" t="s">
        <v>6</v>
      </c>
      <c r="G9" s="76" t="s">
        <v>6</v>
      </c>
      <c r="H9" s="76" t="s">
        <v>6</v>
      </c>
      <c r="I9" s="95"/>
      <c r="J9" s="76" t="s">
        <v>6</v>
      </c>
      <c r="K9" s="80" t="s">
        <v>11</v>
      </c>
      <c r="L9" s="91"/>
    </row>
    <row r="10" spans="1:12" ht="7.5" customHeight="1">
      <c r="A10" s="20"/>
      <c r="B10" s="21"/>
      <c r="C10" s="21"/>
      <c r="D10" s="21"/>
      <c r="E10" s="21"/>
      <c r="F10" s="21"/>
      <c r="G10" s="21"/>
      <c r="H10" s="21"/>
      <c r="I10" s="22"/>
      <c r="J10" s="21"/>
      <c r="K10" s="23"/>
      <c r="L10" s="24"/>
    </row>
    <row r="11" spans="1:12" ht="12.75">
      <c r="A11" s="25" t="s">
        <v>12</v>
      </c>
      <c r="B11" s="26"/>
      <c r="C11" s="26"/>
      <c r="D11" s="27"/>
      <c r="E11" s="26"/>
      <c r="F11" s="28">
        <f aca="true" t="shared" si="0" ref="F11:L11">SUM(F12:F19)</f>
        <v>518.637811861355</v>
      </c>
      <c r="G11" s="28">
        <f t="shared" si="0"/>
        <v>219.84097897816793</v>
      </c>
      <c r="H11" s="28">
        <f t="shared" si="0"/>
        <v>78.6627817184335</v>
      </c>
      <c r="I11" s="28">
        <f t="shared" si="0"/>
        <v>817.1415725579564</v>
      </c>
      <c r="J11" s="28">
        <f t="shared" si="0"/>
        <v>2232.655687176458</v>
      </c>
      <c r="K11" s="28">
        <f t="shared" si="0"/>
        <v>3049.797259734414</v>
      </c>
      <c r="L11" s="61">
        <f t="shared" si="0"/>
        <v>0.3311642938611275</v>
      </c>
    </row>
    <row r="12" spans="1:14" ht="12.75">
      <c r="A12" s="20" t="s">
        <v>37</v>
      </c>
      <c r="B12" s="26"/>
      <c r="C12" s="29">
        <v>8</v>
      </c>
      <c r="D12" s="21" t="s">
        <v>13</v>
      </c>
      <c r="E12" s="29">
        <v>60</v>
      </c>
      <c r="F12" s="29">
        <f>(E12*C12)</f>
        <v>480</v>
      </c>
      <c r="G12" s="26"/>
      <c r="H12" s="26"/>
      <c r="I12" s="30">
        <f>SUM(F12:H12)</f>
        <v>480</v>
      </c>
      <c r="J12" s="26"/>
      <c r="K12" s="31">
        <f>(E12*C12)</f>
        <v>480</v>
      </c>
      <c r="L12" s="24">
        <f>K12/K$39</f>
        <v>0.05212112396847777</v>
      </c>
      <c r="N12" s="5"/>
    </row>
    <row r="13" spans="1:14" ht="12.75">
      <c r="A13" s="20" t="s">
        <v>38</v>
      </c>
      <c r="B13" s="26"/>
      <c r="C13" s="29">
        <v>3</v>
      </c>
      <c r="D13" s="21" t="s">
        <v>13</v>
      </c>
      <c r="E13" s="29">
        <v>60</v>
      </c>
      <c r="F13" s="29"/>
      <c r="G13" s="29">
        <f>(E13*C13)</f>
        <v>180</v>
      </c>
      <c r="H13" s="26"/>
      <c r="I13" s="30">
        <f aca="true" t="shared" si="1" ref="I13:I35">SUM(F13:H13)</f>
        <v>180</v>
      </c>
      <c r="J13" s="26"/>
      <c r="K13" s="31">
        <f>(E13*C13)</f>
        <v>180</v>
      </c>
      <c r="L13" s="24">
        <f>K13/K$39</f>
        <v>0.019545421488179164</v>
      </c>
      <c r="N13" s="5"/>
    </row>
    <row r="14" spans="1:14" ht="12.75">
      <c r="A14" s="20" t="s">
        <v>39</v>
      </c>
      <c r="B14" s="26"/>
      <c r="C14" s="26"/>
      <c r="D14" s="27"/>
      <c r="E14" s="26"/>
      <c r="F14" s="26"/>
      <c r="G14" s="26"/>
      <c r="H14" s="26"/>
      <c r="I14" s="30"/>
      <c r="J14" s="26"/>
      <c r="K14" s="32"/>
      <c r="L14" s="24"/>
      <c r="N14" s="5"/>
    </row>
    <row r="15" spans="1:14" ht="13.5">
      <c r="A15" s="20" t="s">
        <v>14</v>
      </c>
      <c r="B15" s="26"/>
      <c r="C15" s="33">
        <f>3.77/44.43</f>
        <v>0.08485257708755345</v>
      </c>
      <c r="D15" s="21" t="s">
        <v>15</v>
      </c>
      <c r="E15" s="29">
        <v>1181.625</v>
      </c>
      <c r="F15" s="29">
        <f>(K15*0.02)</f>
        <v>2.005278528021607</v>
      </c>
      <c r="G15" s="29">
        <f>(K15*0.032)</f>
        <v>3.208445644834571</v>
      </c>
      <c r="H15" s="29">
        <f>(K15*0.031)</f>
        <v>3.1081817184334906</v>
      </c>
      <c r="I15" s="30">
        <f t="shared" si="1"/>
        <v>8.321905891289669</v>
      </c>
      <c r="J15" s="29">
        <f>(K15*0.917)</f>
        <v>91.94202050979068</v>
      </c>
      <c r="K15" s="31">
        <f>(E15*C15)</f>
        <v>100.26392640108034</v>
      </c>
      <c r="L15" s="24">
        <f>K15/K$39</f>
        <v>0.010887226119827165</v>
      </c>
      <c r="N15" s="5"/>
    </row>
    <row r="16" spans="1:14" ht="12.75">
      <c r="A16" s="20" t="s">
        <v>40</v>
      </c>
      <c r="B16" s="26"/>
      <c r="C16" s="26"/>
      <c r="D16" s="27"/>
      <c r="E16" s="26"/>
      <c r="F16" s="29"/>
      <c r="G16" s="29"/>
      <c r="H16" s="29"/>
      <c r="I16" s="30"/>
      <c r="J16" s="29"/>
      <c r="K16" s="31"/>
      <c r="L16" s="24"/>
      <c r="N16" s="5"/>
    </row>
    <row r="17" spans="1:14" ht="12.75">
      <c r="A17" s="20" t="s">
        <v>16</v>
      </c>
      <c r="B17" s="26"/>
      <c r="C17" s="34">
        <v>2.084</v>
      </c>
      <c r="D17" s="21" t="s">
        <v>17</v>
      </c>
      <c r="E17" s="29">
        <v>950</v>
      </c>
      <c r="F17" s="29">
        <f>(K17*0.016)</f>
        <v>31.676800000000004</v>
      </c>
      <c r="G17" s="29">
        <f>(K17*0.016)</f>
        <v>31.676800000000004</v>
      </c>
      <c r="H17" s="29">
        <f>(K17*0.033)</f>
        <v>65.33340000000001</v>
      </c>
      <c r="I17" s="30">
        <f t="shared" si="1"/>
        <v>128.687</v>
      </c>
      <c r="J17" s="29">
        <f>(K17*0.935)</f>
        <v>1851.1130000000003</v>
      </c>
      <c r="K17" s="31">
        <f>(E17*C17)</f>
        <v>1979.8000000000002</v>
      </c>
      <c r="L17" s="24">
        <f>K17/K$39</f>
        <v>0.21497791923498397</v>
      </c>
      <c r="N17" s="5"/>
    </row>
    <row r="18" spans="1:14" ht="12.75">
      <c r="A18" s="20" t="s">
        <v>41</v>
      </c>
      <c r="B18" s="26"/>
      <c r="C18" s="34"/>
      <c r="D18" s="27"/>
      <c r="E18" s="26"/>
      <c r="F18" s="29"/>
      <c r="G18" s="29"/>
      <c r="H18" s="29"/>
      <c r="I18" s="30"/>
      <c r="J18" s="29"/>
      <c r="K18" s="31"/>
      <c r="L18" s="24"/>
      <c r="N18" s="5"/>
    </row>
    <row r="19" spans="1:14" ht="12.75">
      <c r="A19" s="20" t="s">
        <v>18</v>
      </c>
      <c r="B19" s="26"/>
      <c r="C19" s="34">
        <v>0.92</v>
      </c>
      <c r="D19" s="21" t="s">
        <v>19</v>
      </c>
      <c r="E19" s="29">
        <v>336.6666666666667</v>
      </c>
      <c r="F19" s="29">
        <f>(K19*0.016)</f>
        <v>4.955733333333334</v>
      </c>
      <c r="G19" s="29">
        <f>(K19*0.016)</f>
        <v>4.955733333333334</v>
      </c>
      <c r="H19" s="29">
        <f>(K19*0.033)</f>
        <v>10.221200000000001</v>
      </c>
      <c r="I19" s="30">
        <f t="shared" si="1"/>
        <v>20.13266666666667</v>
      </c>
      <c r="J19" s="29">
        <f>(K19*0.935)</f>
        <v>289.6006666666667</v>
      </c>
      <c r="K19" s="31">
        <f>(E19*C19)</f>
        <v>309.73333333333335</v>
      </c>
      <c r="L19" s="24">
        <f>K19/K$39</f>
        <v>0.033632603049659406</v>
      </c>
      <c r="N19" s="5"/>
    </row>
    <row r="20" spans="1:14" ht="6" customHeight="1">
      <c r="A20" s="35"/>
      <c r="B20" s="26"/>
      <c r="C20" s="26"/>
      <c r="D20" s="27"/>
      <c r="E20" s="26"/>
      <c r="F20" s="29"/>
      <c r="G20" s="29"/>
      <c r="H20" s="29"/>
      <c r="I20" s="30"/>
      <c r="J20" s="29"/>
      <c r="K20" s="31"/>
      <c r="L20" s="24"/>
      <c r="N20" s="5"/>
    </row>
    <row r="21" spans="1:14" ht="12.75">
      <c r="A21" s="25" t="s">
        <v>20</v>
      </c>
      <c r="B21" s="26"/>
      <c r="C21" s="26"/>
      <c r="D21" s="27"/>
      <c r="E21" s="26"/>
      <c r="F21" s="36">
        <f aca="true" t="shared" si="2" ref="F21:L21">SUM(F22:F24)</f>
        <v>650</v>
      </c>
      <c r="G21" s="36">
        <f t="shared" si="2"/>
        <v>0</v>
      </c>
      <c r="H21" s="36">
        <f t="shared" si="2"/>
        <v>0</v>
      </c>
      <c r="I21" s="37">
        <f t="shared" si="2"/>
        <v>650</v>
      </c>
      <c r="J21" s="36">
        <f t="shared" si="2"/>
        <v>0</v>
      </c>
      <c r="K21" s="36">
        <f t="shared" si="2"/>
        <v>650</v>
      </c>
      <c r="L21" s="62">
        <f t="shared" si="2"/>
        <v>0.07058068870731365</v>
      </c>
      <c r="N21" s="5"/>
    </row>
    <row r="22" spans="1:14" ht="12.75">
      <c r="A22" s="20" t="s">
        <v>42</v>
      </c>
      <c r="B22" s="26"/>
      <c r="C22" s="34">
        <v>1</v>
      </c>
      <c r="D22" s="21" t="s">
        <v>21</v>
      </c>
      <c r="E22" s="29">
        <v>250</v>
      </c>
      <c r="F22" s="29">
        <f>E22*C22</f>
        <v>250</v>
      </c>
      <c r="G22" s="29"/>
      <c r="H22" s="29"/>
      <c r="I22" s="30">
        <f>SUM(F22:H22)</f>
        <v>250</v>
      </c>
      <c r="J22" s="29"/>
      <c r="K22" s="31">
        <f>(E22*C22)</f>
        <v>250</v>
      </c>
      <c r="L22" s="24">
        <f>K22/K$39</f>
        <v>0.027146418733582173</v>
      </c>
      <c r="N22" s="5"/>
    </row>
    <row r="23" spans="1:14" ht="12.75">
      <c r="A23" s="20" t="s">
        <v>43</v>
      </c>
      <c r="B23" s="26"/>
      <c r="C23" s="34">
        <v>1</v>
      </c>
      <c r="D23" s="21" t="s">
        <v>21</v>
      </c>
      <c r="E23" s="29">
        <v>200</v>
      </c>
      <c r="F23" s="29">
        <f>E23*C23</f>
        <v>200</v>
      </c>
      <c r="G23" s="29"/>
      <c r="H23" s="29"/>
      <c r="I23" s="30">
        <f>SUM(F23:H23)</f>
        <v>200</v>
      </c>
      <c r="J23" s="29"/>
      <c r="K23" s="31">
        <f>(E23*C23)</f>
        <v>200</v>
      </c>
      <c r="L23" s="24">
        <f>K23/K$39</f>
        <v>0.021717134986865737</v>
      </c>
      <c r="N23" s="5"/>
    </row>
    <row r="24" spans="1:14" ht="12.75">
      <c r="A24" s="20" t="s">
        <v>44</v>
      </c>
      <c r="B24" s="26"/>
      <c r="C24" s="34">
        <v>1</v>
      </c>
      <c r="D24" s="21" t="s">
        <v>21</v>
      </c>
      <c r="E24" s="29">
        <v>200</v>
      </c>
      <c r="F24" s="29">
        <f>E24*C24</f>
        <v>200</v>
      </c>
      <c r="G24" s="29"/>
      <c r="H24" s="29"/>
      <c r="I24" s="30">
        <f t="shared" si="1"/>
        <v>200</v>
      </c>
      <c r="J24" s="29"/>
      <c r="K24" s="31">
        <f>(E24*C24)</f>
        <v>200</v>
      </c>
      <c r="L24" s="24">
        <f>K24/K$39</f>
        <v>0.021717134986865737</v>
      </c>
      <c r="N24" s="5"/>
    </row>
    <row r="25" spans="1:14" ht="8.25" customHeight="1">
      <c r="A25" s="35"/>
      <c r="B25" s="26"/>
      <c r="C25" s="26"/>
      <c r="D25" s="27"/>
      <c r="E25" s="26"/>
      <c r="F25" s="29"/>
      <c r="G25" s="29"/>
      <c r="H25" s="29"/>
      <c r="I25" s="30"/>
      <c r="J25" s="29"/>
      <c r="K25" s="31"/>
      <c r="L25" s="24"/>
      <c r="N25" s="5"/>
    </row>
    <row r="26" spans="1:14" ht="12.75">
      <c r="A26" s="25" t="s">
        <v>22</v>
      </c>
      <c r="B26" s="26"/>
      <c r="C26" s="26"/>
      <c r="D26" s="27"/>
      <c r="E26" s="26"/>
      <c r="F26" s="37">
        <f aca="true" t="shared" si="3" ref="F26:K26">SUM(F27:F35)</f>
        <v>708.18655</v>
      </c>
      <c r="G26" s="37">
        <f t="shared" si="3"/>
        <v>235.15204999999997</v>
      </c>
      <c r="H26" s="37">
        <f t="shared" si="3"/>
        <v>51.1145</v>
      </c>
      <c r="I26" s="37">
        <f t="shared" si="3"/>
        <v>994.4531</v>
      </c>
      <c r="J26" s="37">
        <f t="shared" si="3"/>
        <v>3665.6969</v>
      </c>
      <c r="K26" s="37">
        <f t="shared" si="3"/>
        <v>4660.15</v>
      </c>
      <c r="L26" s="62">
        <f>SUM(L27:L35)</f>
        <v>0.5060255330452119</v>
      </c>
      <c r="N26" s="5"/>
    </row>
    <row r="27" spans="1:14" ht="12.75">
      <c r="A27" s="20" t="s">
        <v>45</v>
      </c>
      <c r="B27" s="26"/>
      <c r="C27" s="34">
        <v>0.188</v>
      </c>
      <c r="D27" s="21" t="s">
        <v>23</v>
      </c>
      <c r="E27" s="29">
        <v>500</v>
      </c>
      <c r="F27" s="29">
        <f>(E27*C27)</f>
        <v>94</v>
      </c>
      <c r="G27" s="29"/>
      <c r="H27" s="29"/>
      <c r="I27" s="30">
        <f>SUM(F27:H27)</f>
        <v>94</v>
      </c>
      <c r="J27" s="29"/>
      <c r="K27" s="31">
        <f aca="true" t="shared" si="4" ref="K27:K34">(E27*C27)</f>
        <v>94</v>
      </c>
      <c r="L27" s="24">
        <f aca="true" t="shared" si="5" ref="L27:L35">K27/K$39</f>
        <v>0.010207053443826896</v>
      </c>
      <c r="N27" s="5"/>
    </row>
    <row r="28" spans="1:14" ht="12.75">
      <c r="A28" s="20" t="s">
        <v>46</v>
      </c>
      <c r="B28" s="26"/>
      <c r="C28" s="34">
        <v>0.226</v>
      </c>
      <c r="D28" s="21" t="s">
        <v>23</v>
      </c>
      <c r="E28" s="29">
        <f>+E27</f>
        <v>500</v>
      </c>
      <c r="F28" s="29">
        <f>(K28*0.75)</f>
        <v>84.75</v>
      </c>
      <c r="G28" s="29">
        <f>(K28*0.25)</f>
        <v>28.25</v>
      </c>
      <c r="H28" s="29"/>
      <c r="I28" s="30">
        <f t="shared" si="1"/>
        <v>113</v>
      </c>
      <c r="J28" s="29"/>
      <c r="K28" s="31">
        <f t="shared" si="4"/>
        <v>113</v>
      </c>
      <c r="L28" s="24">
        <f t="shared" si="5"/>
        <v>0.012270181267579143</v>
      </c>
      <c r="N28" s="5"/>
    </row>
    <row r="29" spans="1:14" ht="12.75">
      <c r="A29" s="20" t="s">
        <v>47</v>
      </c>
      <c r="B29" s="26"/>
      <c r="C29" s="34">
        <v>0.2456</v>
      </c>
      <c r="D29" s="21" t="s">
        <v>23</v>
      </c>
      <c r="E29" s="29">
        <f aca="true" t="shared" si="6" ref="E29:E35">+E28</f>
        <v>500</v>
      </c>
      <c r="F29" s="29">
        <f>(E29*C29)</f>
        <v>122.80000000000001</v>
      </c>
      <c r="G29" s="29"/>
      <c r="H29" s="29"/>
      <c r="I29" s="30">
        <f t="shared" si="1"/>
        <v>122.80000000000001</v>
      </c>
      <c r="J29" s="29"/>
      <c r="K29" s="31">
        <f t="shared" si="4"/>
        <v>122.80000000000001</v>
      </c>
      <c r="L29" s="24">
        <f t="shared" si="5"/>
        <v>0.013334320881935565</v>
      </c>
      <c r="N29" s="5"/>
    </row>
    <row r="30" spans="1:14" ht="12.75">
      <c r="A30" s="20" t="s">
        <v>48</v>
      </c>
      <c r="B30" s="26"/>
      <c r="C30" s="34">
        <v>0.056</v>
      </c>
      <c r="D30" s="21" t="s">
        <v>23</v>
      </c>
      <c r="E30" s="29">
        <f t="shared" si="6"/>
        <v>500</v>
      </c>
      <c r="F30" s="29">
        <f>(E30*C30)/2</f>
        <v>14</v>
      </c>
      <c r="G30" s="29">
        <f>(E30*C30)/2</f>
        <v>14</v>
      </c>
      <c r="H30" s="29"/>
      <c r="I30" s="30">
        <f>SUM(F30:H30)</f>
        <v>28</v>
      </c>
      <c r="J30" s="29"/>
      <c r="K30" s="31">
        <f t="shared" si="4"/>
        <v>28</v>
      </c>
      <c r="L30" s="24">
        <f t="shared" si="5"/>
        <v>0.003040398898161203</v>
      </c>
      <c r="N30" s="5"/>
    </row>
    <row r="31" spans="1:14" ht="12.75">
      <c r="A31" s="20" t="s">
        <v>49</v>
      </c>
      <c r="B31" s="26"/>
      <c r="C31" s="34">
        <v>1.84</v>
      </c>
      <c r="D31" s="21" t="s">
        <v>23</v>
      </c>
      <c r="E31" s="29">
        <f t="shared" si="6"/>
        <v>500</v>
      </c>
      <c r="F31" s="29">
        <f>(K31*0.014)</f>
        <v>12.88</v>
      </c>
      <c r="G31" s="29">
        <f>(K31*0.028)</f>
        <v>25.76</v>
      </c>
      <c r="H31" s="29">
        <f>(K31*0.041)</f>
        <v>37.72</v>
      </c>
      <c r="I31" s="30">
        <f t="shared" si="1"/>
        <v>76.36</v>
      </c>
      <c r="J31" s="29">
        <f>(K31*0.917)</f>
        <v>843.64</v>
      </c>
      <c r="K31" s="31">
        <f t="shared" si="4"/>
        <v>920</v>
      </c>
      <c r="L31" s="24">
        <f t="shared" si="5"/>
        <v>0.0998988209395824</v>
      </c>
      <c r="N31" s="5"/>
    </row>
    <row r="32" spans="1:14" ht="12.75">
      <c r="A32" s="20" t="s">
        <v>50</v>
      </c>
      <c r="B32" s="26"/>
      <c r="C32" s="34">
        <v>0.301</v>
      </c>
      <c r="D32" s="21" t="s">
        <v>23</v>
      </c>
      <c r="E32" s="29">
        <f t="shared" si="6"/>
        <v>500</v>
      </c>
      <c r="F32" s="29">
        <f>(K32*0.084)</f>
        <v>12.642000000000001</v>
      </c>
      <c r="G32" s="29">
        <f>(K32*0.089)</f>
        <v>13.394499999999999</v>
      </c>
      <c r="H32" s="29">
        <f>(K32*0.089)</f>
        <v>13.394499999999999</v>
      </c>
      <c r="I32" s="30">
        <f t="shared" si="1"/>
        <v>39.431</v>
      </c>
      <c r="J32" s="29">
        <f>(K32*0.738)</f>
        <v>111.069</v>
      </c>
      <c r="K32" s="31">
        <f t="shared" si="4"/>
        <v>150.5</v>
      </c>
      <c r="L32" s="24">
        <f t="shared" si="5"/>
        <v>0.016342144077616468</v>
      </c>
      <c r="M32" s="5"/>
      <c r="N32" s="5"/>
    </row>
    <row r="33" spans="1:14" ht="12.75">
      <c r="A33" s="20" t="s">
        <v>51</v>
      </c>
      <c r="B33" s="26"/>
      <c r="C33" s="34">
        <v>2.112</v>
      </c>
      <c r="D33" s="21" t="s">
        <v>23</v>
      </c>
      <c r="E33" s="29">
        <f t="shared" si="6"/>
        <v>500</v>
      </c>
      <c r="F33" s="29">
        <f>(K33*0.053)</f>
        <v>55.967999999999996</v>
      </c>
      <c r="G33" s="29">
        <f>(K33*0.071)</f>
        <v>74.976</v>
      </c>
      <c r="H33" s="29"/>
      <c r="I33" s="30">
        <f t="shared" si="1"/>
        <v>130.944</v>
      </c>
      <c r="J33" s="29">
        <f>(K33*0.876)</f>
        <v>925.056</v>
      </c>
      <c r="K33" s="31">
        <f t="shared" si="4"/>
        <v>1056</v>
      </c>
      <c r="L33" s="24">
        <f t="shared" si="5"/>
        <v>0.1146664727306511</v>
      </c>
      <c r="N33" s="5"/>
    </row>
    <row r="34" spans="1:14" ht="12.75">
      <c r="A34" s="20" t="s">
        <v>52</v>
      </c>
      <c r="B34" s="26"/>
      <c r="C34" s="34">
        <v>1.1017</v>
      </c>
      <c r="D34" s="21" t="s">
        <v>23</v>
      </c>
      <c r="E34" s="29">
        <f t="shared" si="6"/>
        <v>500</v>
      </c>
      <c r="F34" s="29">
        <f>(K34*0.143)</f>
        <v>78.77154999999998</v>
      </c>
      <c r="G34" s="29">
        <f>(K34*0.143)</f>
        <v>78.77154999999998</v>
      </c>
      <c r="H34" s="29"/>
      <c r="I34" s="30">
        <f t="shared" si="1"/>
        <v>157.54309999999995</v>
      </c>
      <c r="J34" s="29">
        <f>(K34*0.714)</f>
        <v>393.3068999999999</v>
      </c>
      <c r="K34" s="31">
        <f t="shared" si="4"/>
        <v>550.8499999999999</v>
      </c>
      <c r="L34" s="24">
        <f t="shared" si="5"/>
        <v>0.05981441903757495</v>
      </c>
      <c r="N34" s="5"/>
    </row>
    <row r="35" spans="1:14" ht="13.5" thickBot="1">
      <c r="A35" s="38" t="s">
        <v>53</v>
      </c>
      <c r="B35" s="39"/>
      <c r="C35" s="40">
        <v>3.25</v>
      </c>
      <c r="D35" s="41" t="s">
        <v>23</v>
      </c>
      <c r="E35" s="42">
        <f t="shared" si="6"/>
        <v>500</v>
      </c>
      <c r="F35" s="42">
        <f>(K35*0.143)</f>
        <v>232.37499999999997</v>
      </c>
      <c r="G35" s="42"/>
      <c r="H35" s="42"/>
      <c r="I35" s="43">
        <f t="shared" si="1"/>
        <v>232.37499999999997</v>
      </c>
      <c r="J35" s="42">
        <f>(K35)-I35</f>
        <v>1392.625</v>
      </c>
      <c r="K35" s="44">
        <f>(E35*C35)</f>
        <v>1625</v>
      </c>
      <c r="L35" s="45">
        <f t="shared" si="5"/>
        <v>0.1764517217682841</v>
      </c>
      <c r="N35" s="5"/>
    </row>
    <row r="36" spans="1:13" ht="19.5" customHeight="1">
      <c r="A36" s="25" t="s">
        <v>24</v>
      </c>
      <c r="B36" s="46"/>
      <c r="C36" s="46"/>
      <c r="D36" s="46"/>
      <c r="E36" s="46"/>
      <c r="F36" s="47">
        <f aca="true" t="shared" si="7" ref="F36:L36">F11+F21+F26</f>
        <v>1876.824361861355</v>
      </c>
      <c r="G36" s="48">
        <f t="shared" si="7"/>
        <v>454.9930289781679</v>
      </c>
      <c r="H36" s="48">
        <f t="shared" si="7"/>
        <v>129.7772817184335</v>
      </c>
      <c r="I36" s="49">
        <f t="shared" si="7"/>
        <v>2461.594672557956</v>
      </c>
      <c r="J36" s="48">
        <f t="shared" si="7"/>
        <v>5898.352587176458</v>
      </c>
      <c r="K36" s="50">
        <f t="shared" si="7"/>
        <v>8359.947259734414</v>
      </c>
      <c r="L36" s="63">
        <f t="shared" si="7"/>
        <v>0.9077705156136531</v>
      </c>
      <c r="M36" s="65"/>
    </row>
    <row r="37" spans="1:13" ht="12.75">
      <c r="A37" s="20" t="s">
        <v>25</v>
      </c>
      <c r="B37" s="46"/>
      <c r="C37" s="46"/>
      <c r="D37" s="46"/>
      <c r="E37" s="46"/>
      <c r="F37" s="52">
        <f aca="true" t="shared" si="8" ref="F37:K37">(F36*0.02)</f>
        <v>37.5364872372271</v>
      </c>
      <c r="G37" s="52">
        <f t="shared" si="8"/>
        <v>9.099860579563359</v>
      </c>
      <c r="H37" s="52">
        <f t="shared" si="8"/>
        <v>2.59554563436867</v>
      </c>
      <c r="I37" s="49">
        <f t="shared" si="8"/>
        <v>49.231893451159124</v>
      </c>
      <c r="J37" s="52">
        <f t="shared" si="8"/>
        <v>117.96705174352915</v>
      </c>
      <c r="K37" s="53">
        <f t="shared" si="8"/>
        <v>167.1989451946883</v>
      </c>
      <c r="L37" s="64">
        <f>K37/K$39</f>
        <v>0.018155410312273062</v>
      </c>
      <c r="M37" s="66">
        <f>+K37+K38</f>
        <v>849.3706415890165</v>
      </c>
    </row>
    <row r="38" spans="1:13" ht="12.75">
      <c r="A38" s="20" t="s">
        <v>55</v>
      </c>
      <c r="B38" s="46"/>
      <c r="C38" s="46"/>
      <c r="D38" s="46"/>
      <c r="E38" s="46"/>
      <c r="F38" s="52">
        <f aca="true" t="shared" si="9" ref="F38:K38">SUM(F36:F37)*0.08</f>
        <v>153.14886792788658</v>
      </c>
      <c r="G38" s="52">
        <f t="shared" si="9"/>
        <v>37.1274311646185</v>
      </c>
      <c r="H38" s="52">
        <f t="shared" si="9"/>
        <v>10.589826188224174</v>
      </c>
      <c r="I38" s="49">
        <f t="shared" si="9"/>
        <v>200.86612528072922</v>
      </c>
      <c r="J38" s="52">
        <f t="shared" si="9"/>
        <v>481.30557111359894</v>
      </c>
      <c r="K38" s="53">
        <f t="shared" si="9"/>
        <v>682.1716963943281</v>
      </c>
      <c r="L38" s="64">
        <f>K38/K$39</f>
        <v>0.07407407407407408</v>
      </c>
      <c r="M38" s="65"/>
    </row>
    <row r="39" spans="1:12" s="2" customFormat="1" ht="18" customHeight="1" thickBot="1">
      <c r="A39" s="81" t="s">
        <v>26</v>
      </c>
      <c r="B39" s="82"/>
      <c r="C39" s="82"/>
      <c r="D39" s="82"/>
      <c r="E39" s="82"/>
      <c r="F39" s="83">
        <f aca="true" t="shared" si="10" ref="F39:K39">SUM(F36:F38)</f>
        <v>2067.5097170264685</v>
      </c>
      <c r="G39" s="84">
        <f t="shared" si="10"/>
        <v>501.22032072234975</v>
      </c>
      <c r="H39" s="83">
        <f t="shared" si="10"/>
        <v>142.96265354102636</v>
      </c>
      <c r="I39" s="85">
        <f>SUM(I36:I38)</f>
        <v>2711.6926912898443</v>
      </c>
      <c r="J39" s="84">
        <f>SUM(J36:J38)</f>
        <v>6497.625210033586</v>
      </c>
      <c r="K39" s="86">
        <f t="shared" si="10"/>
        <v>9209.31790132343</v>
      </c>
      <c r="L39" s="87">
        <f>SUM(L36:L38)</f>
        <v>1.0000000000000002</v>
      </c>
    </row>
    <row r="40" spans="1:14" s="8" customFormat="1" ht="13.5" customHeight="1">
      <c r="A40" s="96" t="s">
        <v>32</v>
      </c>
      <c r="B40" s="96"/>
      <c r="C40" s="96"/>
      <c r="D40" s="96"/>
      <c r="E40" s="96"/>
      <c r="F40" s="96"/>
      <c r="G40" s="96"/>
      <c r="H40" s="96"/>
      <c r="I40" s="96"/>
      <c r="J40" s="96"/>
      <c r="K40" s="11"/>
      <c r="L40" s="60"/>
      <c r="M40" s="9"/>
      <c r="N40" s="10"/>
    </row>
    <row r="41" spans="1:14" s="8" customFormat="1" ht="43.5" customHeight="1">
      <c r="A41" s="99" t="s">
        <v>56</v>
      </c>
      <c r="B41" s="99"/>
      <c r="C41" s="99"/>
      <c r="D41" s="99"/>
      <c r="E41" s="99"/>
      <c r="F41" s="99"/>
      <c r="G41" s="99"/>
      <c r="H41" s="99"/>
      <c r="I41" s="99"/>
      <c r="J41" s="99"/>
      <c r="K41" s="11"/>
      <c r="L41" s="60"/>
      <c r="M41" s="9"/>
      <c r="N41" s="10"/>
    </row>
    <row r="42" spans="1:14" s="8" customFormat="1" ht="13.5" customHeight="1">
      <c r="A42" s="54" t="s">
        <v>33</v>
      </c>
      <c r="B42" s="54"/>
      <c r="C42" s="54"/>
      <c r="D42" s="54"/>
      <c r="E42" s="54"/>
      <c r="F42" s="54"/>
      <c r="G42" s="54"/>
      <c r="H42" s="54"/>
      <c r="I42" s="54"/>
      <c r="J42" s="54"/>
      <c r="K42" s="11"/>
      <c r="L42" s="60"/>
      <c r="M42" s="9"/>
      <c r="N42" s="10"/>
    </row>
    <row r="43" spans="1:12" s="8" customFormat="1" ht="15" customHeight="1">
      <c r="A43" s="97" t="s">
        <v>30</v>
      </c>
      <c r="B43" s="97"/>
      <c r="C43" s="97"/>
      <c r="D43" s="97"/>
      <c r="E43" s="97"/>
      <c r="F43" s="97"/>
      <c r="G43" s="97"/>
      <c r="H43" s="97"/>
      <c r="I43" s="97"/>
      <c r="J43" s="97"/>
      <c r="K43" s="11"/>
      <c r="L43" s="60"/>
    </row>
    <row r="44" spans="1:12" s="8" customFormat="1" ht="12" customHeight="1">
      <c r="A44" s="11" t="s">
        <v>31</v>
      </c>
      <c r="B44" s="11"/>
      <c r="C44" s="12"/>
      <c r="D44" s="13"/>
      <c r="E44" s="11"/>
      <c r="F44" s="11"/>
      <c r="G44" s="12"/>
      <c r="H44" s="13"/>
      <c r="I44" s="14"/>
      <c r="J44" s="15">
        <v>600</v>
      </c>
      <c r="K44" s="16">
        <v>500</v>
      </c>
      <c r="L44" s="60"/>
    </row>
    <row r="45" spans="1:12" s="8" customFormat="1" ht="13.5" customHeight="1">
      <c r="A45" s="98" t="s">
        <v>36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18"/>
    </row>
    <row r="46" spans="1:12" s="8" customFormat="1" ht="18" customHeight="1">
      <c r="A46" s="11" t="s">
        <v>35</v>
      </c>
      <c r="B46" s="11"/>
      <c r="C46" s="11"/>
      <c r="D46" s="11"/>
      <c r="E46" s="11"/>
      <c r="F46" s="11"/>
      <c r="G46" s="11"/>
      <c r="H46" s="11"/>
      <c r="I46" s="11"/>
      <c r="J46" s="17">
        <f>(500+700)/2</f>
        <v>600</v>
      </c>
      <c r="K46" s="11"/>
      <c r="L46" s="60"/>
    </row>
    <row r="47" spans="1:12" s="8" customFormat="1" ht="13.5">
      <c r="A47" s="11" t="s">
        <v>34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60"/>
    </row>
    <row r="48" spans="1:12" ht="11.25" customHeight="1">
      <c r="A48" s="18"/>
      <c r="B48" s="18"/>
      <c r="C48" s="18"/>
      <c r="D48" s="18"/>
      <c r="E48" s="18"/>
      <c r="F48" s="18"/>
      <c r="G48" s="18"/>
      <c r="H48" s="18"/>
      <c r="I48" s="19"/>
      <c r="J48" s="18"/>
      <c r="K48" s="18"/>
      <c r="L48" s="18"/>
    </row>
    <row r="49" spans="1:12" ht="12.75" customHeight="1">
      <c r="A49" s="88" t="s">
        <v>54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1:12" ht="12.75">
      <c r="A50" s="51"/>
      <c r="B50" s="51"/>
      <c r="C50" s="51"/>
      <c r="D50" s="51"/>
      <c r="E50" s="51"/>
      <c r="F50" s="51"/>
      <c r="G50" s="51"/>
      <c r="H50" s="51"/>
      <c r="I50" s="56"/>
      <c r="J50" s="51"/>
      <c r="K50" s="51"/>
      <c r="L50" s="51"/>
    </row>
    <row r="62" spans="3:5" ht="12.75">
      <c r="C62" s="3"/>
      <c r="E62" s="3"/>
    </row>
    <row r="63" spans="3:5" ht="12.75">
      <c r="C63" s="3"/>
      <c r="E63" s="3"/>
    </row>
    <row r="64" ht="12.75">
      <c r="E64" s="3"/>
    </row>
    <row r="65" spans="5:11" ht="12.75">
      <c r="E65" s="3"/>
      <c r="F65" s="3"/>
      <c r="G65" s="3"/>
      <c r="H65" s="3"/>
      <c r="I65" s="7"/>
      <c r="J65" s="3"/>
      <c r="K65" s="3"/>
    </row>
    <row r="66" spans="5:11" ht="12.75">
      <c r="E66" s="3"/>
      <c r="F66" s="3"/>
      <c r="G66" s="3"/>
      <c r="H66" s="3"/>
      <c r="I66" s="7"/>
      <c r="J66" s="3"/>
      <c r="K66" s="3"/>
    </row>
    <row r="67" spans="5:11" ht="12.75">
      <c r="E67" s="3"/>
      <c r="F67" s="3"/>
      <c r="G67" s="3"/>
      <c r="H67" s="3"/>
      <c r="I67" s="7"/>
      <c r="J67" s="3"/>
      <c r="K67" s="3"/>
    </row>
    <row r="68" spans="5:11" ht="12.75">
      <c r="E68" s="3"/>
      <c r="F68" s="3"/>
      <c r="G68" s="3"/>
      <c r="H68" s="3"/>
      <c r="I68" s="7"/>
      <c r="J68" s="3"/>
      <c r="K68" s="3"/>
    </row>
    <row r="69" spans="5:11" ht="12.75">
      <c r="E69" s="3"/>
      <c r="F69" s="3"/>
      <c r="G69" s="3"/>
      <c r="H69" s="3"/>
      <c r="I69" s="7"/>
      <c r="J69" s="3"/>
      <c r="K69" s="3"/>
    </row>
    <row r="70" spans="5:11" ht="12.75">
      <c r="E70" s="3"/>
      <c r="F70" s="3"/>
      <c r="G70" s="3"/>
      <c r="H70" s="3"/>
      <c r="I70" s="7"/>
      <c r="J70" s="3"/>
      <c r="K70" s="3"/>
    </row>
    <row r="71" spans="5:11" ht="12.75">
      <c r="E71" s="3"/>
      <c r="F71" s="3"/>
      <c r="G71" s="3"/>
      <c r="H71" s="3"/>
      <c r="I71" s="7"/>
      <c r="J71" s="3"/>
      <c r="K71" s="3"/>
    </row>
    <row r="72" spans="3:11" ht="12.75">
      <c r="C72" s="4"/>
      <c r="E72" s="3"/>
      <c r="F72" s="3"/>
      <c r="G72" s="3"/>
      <c r="H72" s="3"/>
      <c r="I72" s="7"/>
      <c r="J72" s="3"/>
      <c r="K72" s="3"/>
    </row>
    <row r="73" spans="3:11" ht="12.75">
      <c r="C73" s="4"/>
      <c r="E73" s="3"/>
      <c r="F73" s="3"/>
      <c r="G73" s="3"/>
      <c r="H73" s="3"/>
      <c r="I73" s="7"/>
      <c r="J73" s="3"/>
      <c r="K73" s="3"/>
    </row>
    <row r="74" spans="3:11" ht="12.75">
      <c r="C74" s="4"/>
      <c r="E74" s="3"/>
      <c r="F74" s="3"/>
      <c r="G74" s="3"/>
      <c r="H74" s="3"/>
      <c r="I74" s="7"/>
      <c r="J74" s="3"/>
      <c r="K74" s="3"/>
    </row>
    <row r="75" spans="5:11" ht="12.75">
      <c r="E75" s="3"/>
      <c r="F75" s="3"/>
      <c r="G75" s="3"/>
      <c r="H75" s="3"/>
      <c r="I75" s="7"/>
      <c r="J75" s="3"/>
      <c r="K75" s="3"/>
    </row>
    <row r="76" spans="5:11" ht="12.75">
      <c r="E76" s="3"/>
      <c r="F76" s="3"/>
      <c r="G76" s="3"/>
      <c r="H76" s="3"/>
      <c r="I76" s="7"/>
      <c r="J76" s="3"/>
      <c r="K76" s="3"/>
    </row>
    <row r="77" spans="3:11" ht="12.75">
      <c r="C77" s="4"/>
      <c r="E77" s="3"/>
      <c r="F77" s="3"/>
      <c r="G77" s="3"/>
      <c r="H77" s="3"/>
      <c r="I77" s="7"/>
      <c r="J77" s="3"/>
      <c r="K77" s="3"/>
    </row>
    <row r="78" spans="3:11" ht="12.75">
      <c r="C78" s="4"/>
      <c r="E78" s="3"/>
      <c r="F78" s="3"/>
      <c r="G78" s="3"/>
      <c r="H78" s="3"/>
      <c r="I78" s="7"/>
      <c r="J78" s="3"/>
      <c r="K78" s="3"/>
    </row>
    <row r="79" spans="3:11" ht="12.75">
      <c r="C79" s="4"/>
      <c r="E79" s="3"/>
      <c r="F79" s="3"/>
      <c r="G79" s="3"/>
      <c r="H79" s="3"/>
      <c r="I79" s="7"/>
      <c r="J79" s="3"/>
      <c r="K79" s="3"/>
    </row>
    <row r="80" spans="3:11" ht="12.75">
      <c r="C80" s="4"/>
      <c r="E80" s="3"/>
      <c r="F80" s="3"/>
      <c r="G80" s="3"/>
      <c r="H80" s="3"/>
      <c r="I80" s="7"/>
      <c r="J80" s="3"/>
      <c r="K80" s="3"/>
    </row>
    <row r="81" spans="3:11" ht="12.75">
      <c r="C81" s="4"/>
      <c r="E81" s="3"/>
      <c r="F81" s="3"/>
      <c r="G81" s="3"/>
      <c r="H81" s="3"/>
      <c r="I81" s="7"/>
      <c r="J81" s="3"/>
      <c r="K81" s="3"/>
    </row>
    <row r="82" spans="3:11" ht="12.75">
      <c r="C82" s="4"/>
      <c r="E82" s="3"/>
      <c r="F82" s="3"/>
      <c r="G82" s="3"/>
      <c r="H82" s="3"/>
      <c r="I82" s="7"/>
      <c r="J82" s="3"/>
      <c r="K82" s="3"/>
    </row>
    <row r="83" spans="3:11" ht="12.75">
      <c r="C83" s="4"/>
      <c r="E83" s="3"/>
      <c r="F83" s="3"/>
      <c r="G83" s="3"/>
      <c r="H83" s="3"/>
      <c r="I83" s="7"/>
      <c r="J83" s="3"/>
      <c r="K83" s="3"/>
    </row>
    <row r="84" spans="3:11" ht="12.75">
      <c r="C84" s="4"/>
      <c r="E84" s="3"/>
      <c r="F84" s="3"/>
      <c r="G84" s="3"/>
      <c r="H84" s="3"/>
      <c r="I84" s="7"/>
      <c r="J84" s="3"/>
      <c r="K84" s="3"/>
    </row>
    <row r="85" spans="3:11" ht="12.75">
      <c r="C85" s="4"/>
      <c r="E85" s="3"/>
      <c r="F85" s="3"/>
      <c r="G85" s="3"/>
      <c r="H85" s="3"/>
      <c r="I85" s="7"/>
      <c r="J85" s="3"/>
      <c r="K85" s="3"/>
    </row>
    <row r="86" spans="3:11" ht="12.75">
      <c r="C86" s="4"/>
      <c r="E86" s="3"/>
      <c r="F86" s="3"/>
      <c r="G86" s="3"/>
      <c r="H86" s="3"/>
      <c r="I86" s="7"/>
      <c r="J86" s="3"/>
      <c r="K86" s="3"/>
    </row>
  </sheetData>
  <sheetProtection/>
  <mergeCells count="9">
    <mergeCell ref="A49:L49"/>
    <mergeCell ref="L7:L9"/>
    <mergeCell ref="A2:L2"/>
    <mergeCell ref="A3:L3"/>
    <mergeCell ref="I7:I9"/>
    <mergeCell ref="A40:J40"/>
    <mergeCell ref="A43:J43"/>
    <mergeCell ref="A45:K45"/>
    <mergeCell ref="A41:J41"/>
  </mergeCells>
  <printOptions/>
  <pageMargins left="1.220472440944882" right="0.35433070866141736" top="0.5511811023622047" bottom="0.35433070866141736" header="0.11811023622047245" footer="0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Karisovic</cp:lastModifiedBy>
  <cp:lastPrinted>2017-04-25T17:26:59Z</cp:lastPrinted>
  <dcterms:created xsi:type="dcterms:W3CDTF">2007-12-07T17:04:43Z</dcterms:created>
  <dcterms:modified xsi:type="dcterms:W3CDTF">2019-07-19T16:18:56Z</dcterms:modified>
  <cp:category/>
  <cp:version/>
  <cp:contentType/>
  <cp:contentStatus/>
</cp:coreProperties>
</file>