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'Hoja1'!$A$1:$K$49</definedName>
  </definedNames>
  <calcPr fullCalcOnLoad="1"/>
</workbook>
</file>

<file path=xl/sharedStrings.xml><?xml version="1.0" encoding="utf-8"?>
<sst xmlns="http://schemas.openxmlformats.org/spreadsheetml/2006/main" count="95" uniqueCount="60">
  <si>
    <t xml:space="preserve">  ESTIMADO DE COSTO DE PRODUCCION PARA LA EXPLOTACION DE UNA TAREA  DE TORONJA</t>
  </si>
  <si>
    <t>Actividad</t>
  </si>
  <si>
    <t>Unidad</t>
  </si>
  <si>
    <t xml:space="preserve">Valor </t>
  </si>
  <si>
    <t>1er. Año</t>
  </si>
  <si>
    <t>2do. Año</t>
  </si>
  <si>
    <t>3er. Año</t>
  </si>
  <si>
    <t>4-10 Año</t>
  </si>
  <si>
    <t>Costo</t>
  </si>
  <si>
    <t>Total</t>
  </si>
  <si>
    <t>1- INSUMOS</t>
  </si>
  <si>
    <t>Plantas</t>
  </si>
  <si>
    <t xml:space="preserve">      (15-15-15)</t>
  </si>
  <si>
    <t>Quintal</t>
  </si>
  <si>
    <t xml:space="preserve">      (Azodrin 60)</t>
  </si>
  <si>
    <t>Litro</t>
  </si>
  <si>
    <t xml:space="preserve">      (Dithane)</t>
  </si>
  <si>
    <t>Kilo</t>
  </si>
  <si>
    <t>2-  PREPARACION DEL TERRENO</t>
  </si>
  <si>
    <t>Tarea</t>
  </si>
  <si>
    <t>-</t>
  </si>
  <si>
    <t>3-  MANO DE OBRA</t>
  </si>
  <si>
    <t>Hom-Día</t>
  </si>
  <si>
    <t xml:space="preserve">  SUBTOTAL </t>
  </si>
  <si>
    <t xml:space="preserve">  GASTOS ADMINISTRATIVOS.(2%)</t>
  </si>
  <si>
    <t xml:space="preserve">  TOTAL GENERAL</t>
  </si>
  <si>
    <t>Cant.</t>
  </si>
  <si>
    <t>Unitario</t>
  </si>
  <si>
    <t>Participación (%) por Actividad</t>
  </si>
  <si>
    <t>Total Costo Fomento</t>
  </si>
  <si>
    <t>Las unidades de médida expresadas en los insumos corresponde a la forma en la que los productores  la obtienen de los puntos de venta o agroquímicas.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</si>
  <si>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</si>
  <si>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Una Hectárea equivale a 15.9 tareas.</t>
  </si>
  <si>
    <t xml:space="preserve"> El uso de una "MARCA DE FABRICA" no constituye una recomendación del producto, sino lo que informaron los productores.</t>
  </si>
  <si>
    <t xml:space="preserve">Notas: </t>
  </si>
  <si>
    <t xml:space="preserve">               Estimados por la División de Estudios Económicos.</t>
  </si>
  <si>
    <t>COSTO FOMENTO: desde el año 1 al 3  Y  COSTO MANTENIMIENTO:  del cuarto año en adelante.</t>
  </si>
  <si>
    <t>Fuente:  Ministerio de Agricultura, Departamento de Economía Agropecuaria.</t>
  </si>
  <si>
    <t>1. Compra de Plántulas de Siembra</t>
  </si>
  <si>
    <t>2. Compra para la Resiembra</t>
  </si>
  <si>
    <t xml:space="preserve">3. Compra de Fertilizante </t>
  </si>
  <si>
    <t xml:space="preserve">4.Compra de Insecticida </t>
  </si>
  <si>
    <t>5. Compra de Fungicida</t>
  </si>
  <si>
    <t>1. Corte (Mecanizado)</t>
  </si>
  <si>
    <t>2.Cruce (Mecanizado)</t>
  </si>
  <si>
    <t>3.Rastra (Mecanicado)</t>
  </si>
  <si>
    <t>1.  Marcado y Alineación</t>
  </si>
  <si>
    <t>2. Transporte de Plantas</t>
  </si>
  <si>
    <t>3. Construcción de Hoyos Siembra</t>
  </si>
  <si>
    <t>4. Construccion de Hoyos Resiembra</t>
  </si>
  <si>
    <t>5.Transporte de Fertilizantes</t>
  </si>
  <si>
    <t>6. Aplicación de Fertilizantes</t>
  </si>
  <si>
    <t>7. Aplicación de Pesticidas</t>
  </si>
  <si>
    <t>8. Desyerbos</t>
  </si>
  <si>
    <t>9.Deschuponado y Podas</t>
  </si>
  <si>
    <t>10. Recolección y Empaque</t>
  </si>
  <si>
    <t>Página 167</t>
  </si>
  <si>
    <t xml:space="preserve">  PAGOS INTERESES 8.0% ANUAL (12 meses 8.0% )</t>
  </si>
  <si>
    <t xml:space="preserve">  REPUBLICA DOMINICANA,  2019.-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</si>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</sst>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_(* #,##0.0_);_(* \(#,##0.0\);_(* &quot;-&quot;??_);_(@_)"/>
    <numFmt numFmtId="190" formatCode="_(* #,##0_);_(* \(#,##0\);_(* &quot;-&quot;??_);_(@_)"/>
    <numFmt numFmtId="191" formatCode="#,##0.0_);\(#,##0.0\)"/>
    <numFmt numFmtId="192" formatCode="_(* #,##0.0000_);_(* \(#,##0.0000\);_(* &quot;-&quot;??_);_(@_)"/>
    <numFmt numFmtId="193" formatCode="#,##0.00_ ;\-#,##0.00\ "/>
    <numFmt numFmtId="194" formatCode="0_)"/>
    <numFmt numFmtId="195" formatCode="0.000"/>
  </numFmts>
  <fonts count="51">
    <font>
      <sz val="10"/>
      <name val="Arial"/>
      <family val="0"/>
    </font>
    <font>
      <sz val="10"/>
      <color indexed="8"/>
      <name val="Baskerville Old Face"/>
      <family val="1"/>
    </font>
    <font>
      <sz val="10"/>
      <name val="Baskerville Old Face"/>
      <family val="1"/>
    </font>
    <font>
      <b/>
      <sz val="9"/>
      <name val="Baskerville Old Face"/>
      <family val="1"/>
    </font>
    <font>
      <sz val="9"/>
      <name val="Baskerville Old Face"/>
      <family val="1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Baskerville Old Face"/>
      <family val="1"/>
    </font>
    <font>
      <sz val="11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fill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fill"/>
      <protection/>
    </xf>
    <xf numFmtId="0" fontId="2" fillId="0" borderId="12" xfId="0" applyFont="1" applyBorder="1" applyAlignment="1">
      <alignment/>
    </xf>
    <xf numFmtId="187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9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39" fontId="2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0" fontId="48" fillId="33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3" fontId="3" fillId="33" borderId="10" xfId="47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187" fontId="4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187" fontId="3" fillId="33" borderId="10" xfId="0" applyNumberFormat="1" applyFont="1" applyFill="1" applyBorder="1" applyAlignment="1">
      <alignment/>
    </xf>
    <xf numFmtId="9" fontId="2" fillId="33" borderId="12" xfId="53" applyFont="1" applyFill="1" applyBorder="1" applyAlignment="1">
      <alignment horizontal="center"/>
    </xf>
    <xf numFmtId="192" fontId="6" fillId="33" borderId="10" xfId="47" applyNumberFormat="1" applyFont="1" applyFill="1" applyBorder="1" applyAlignment="1" applyProtection="1">
      <alignment/>
      <protection/>
    </xf>
    <xf numFmtId="39" fontId="4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187" fontId="3" fillId="33" borderId="10" xfId="0" applyNumberFormat="1" applyFont="1" applyFill="1" applyBorder="1" applyAlignment="1" applyProtection="1">
      <alignment/>
      <protection/>
    </xf>
    <xf numFmtId="188" fontId="4" fillId="33" borderId="10" xfId="0" applyNumberFormat="1" applyFont="1" applyFill="1" applyBorder="1" applyAlignment="1" applyProtection="1">
      <alignment/>
      <protection/>
    </xf>
    <xf numFmtId="187" fontId="4" fillId="33" borderId="10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center"/>
    </xf>
    <xf numFmtId="43" fontId="3" fillId="33" borderId="10" xfId="47" applyFont="1" applyFill="1" applyBorder="1" applyAlignment="1" applyProtection="1">
      <alignment/>
      <protection/>
    </xf>
    <xf numFmtId="187" fontId="4" fillId="33" borderId="10" xfId="0" applyNumberFormat="1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left"/>
      <protection/>
    </xf>
    <xf numFmtId="188" fontId="4" fillId="33" borderId="15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187" fontId="4" fillId="33" borderId="15" xfId="0" applyNumberFormat="1" applyFont="1" applyFill="1" applyBorder="1" applyAlignment="1" applyProtection="1">
      <alignment/>
      <protection/>
    </xf>
    <xf numFmtId="187" fontId="4" fillId="33" borderId="15" xfId="0" applyNumberFormat="1" applyFont="1" applyFill="1" applyBorder="1" applyAlignment="1" applyProtection="1">
      <alignment horizontal="center"/>
      <protection/>
    </xf>
    <xf numFmtId="187" fontId="3" fillId="33" borderId="15" xfId="0" applyNumberFormat="1" applyFont="1" applyFill="1" applyBorder="1" applyAlignment="1">
      <alignment/>
    </xf>
    <xf numFmtId="9" fontId="2" fillId="33" borderId="16" xfId="53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9" fontId="3" fillId="33" borderId="18" xfId="53" applyFont="1" applyFill="1" applyBorder="1" applyAlignment="1">
      <alignment horizontal="center"/>
    </xf>
    <xf numFmtId="9" fontId="3" fillId="33" borderId="18" xfId="53" applyFont="1" applyFill="1" applyBorder="1" applyAlignment="1" applyProtection="1">
      <alignment horizontal="center"/>
      <protection/>
    </xf>
    <xf numFmtId="195" fontId="49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3" fillId="33" borderId="19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39" fontId="3" fillId="33" borderId="21" xfId="0" applyNumberFormat="1" applyFont="1" applyFill="1" applyBorder="1" applyAlignment="1" applyProtection="1">
      <alignment/>
      <protection/>
    </xf>
    <xf numFmtId="9" fontId="3" fillId="33" borderId="22" xfId="53" applyFont="1" applyFill="1" applyBorder="1" applyAlignment="1" applyProtection="1">
      <alignment horizontal="center"/>
      <protection/>
    </xf>
    <xf numFmtId="39" fontId="3" fillId="33" borderId="23" xfId="0" applyNumberFormat="1" applyFont="1" applyFill="1" applyBorder="1" applyAlignment="1" applyProtection="1">
      <alignment/>
      <protection/>
    </xf>
    <xf numFmtId="39" fontId="4" fillId="33" borderId="13" xfId="0" applyNumberFormat="1" applyFont="1" applyFill="1" applyBorder="1" applyAlignment="1" applyProtection="1">
      <alignment/>
      <protection/>
    </xf>
    <xf numFmtId="9" fontId="2" fillId="33" borderId="18" xfId="53" applyFont="1" applyFill="1" applyBorder="1" applyAlignment="1">
      <alignment horizontal="center"/>
    </xf>
    <xf numFmtId="43" fontId="6" fillId="0" borderId="0" xfId="47" applyFont="1" applyAlignment="1">
      <alignment/>
    </xf>
    <xf numFmtId="39" fontId="48" fillId="0" borderId="0" xfId="0" applyNumberFormat="1" applyFont="1" applyAlignment="1">
      <alignment/>
    </xf>
    <xf numFmtId="0" fontId="9" fillId="34" borderId="0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fill"/>
      <protection/>
    </xf>
    <xf numFmtId="0" fontId="4" fillId="34" borderId="15" xfId="0" applyFont="1" applyFill="1" applyBorder="1" applyAlignment="1" applyProtection="1">
      <alignment horizontal="fill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>
      <alignment horizontal="center"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39" fontId="3" fillId="34" borderId="26" xfId="0" applyNumberFormat="1" applyFont="1" applyFill="1" applyBorder="1" applyAlignment="1" applyProtection="1">
      <alignment/>
      <protection/>
    </xf>
    <xf numFmtId="9" fontId="3" fillId="34" borderId="27" xfId="53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34" borderId="22" xfId="0" applyFont="1" applyFill="1" applyBorder="1" applyAlignment="1">
      <alignment horizontal="center" vertical="justify"/>
    </xf>
    <xf numFmtId="0" fontId="2" fillId="34" borderId="18" xfId="0" applyFont="1" applyFill="1" applyBorder="1" applyAlignment="1">
      <alignment horizontal="center" vertical="justify"/>
    </xf>
    <xf numFmtId="0" fontId="2" fillId="34" borderId="28" xfId="0" applyFont="1" applyFill="1" applyBorder="1" applyAlignment="1">
      <alignment horizontal="center" vertical="justify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justify"/>
      <protection/>
    </xf>
    <xf numFmtId="0" fontId="8" fillId="34" borderId="10" xfId="0" applyFont="1" applyFill="1" applyBorder="1" applyAlignment="1" applyProtection="1">
      <alignment horizontal="center" vertical="justify"/>
      <protection/>
    </xf>
    <xf numFmtId="0" fontId="8" fillId="34" borderId="15" xfId="0" applyFont="1" applyFill="1" applyBorder="1" applyAlignment="1" applyProtection="1">
      <alignment horizontal="center" vertical="justify"/>
      <protection/>
    </xf>
    <xf numFmtId="0" fontId="6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left" wrapText="1"/>
      <protection/>
    </xf>
    <xf numFmtId="0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7">
      <selection activeCell="D27" sqref="D27"/>
    </sheetView>
  </sheetViews>
  <sheetFormatPr defaultColWidth="11.00390625" defaultRowHeight="12.75"/>
  <cols>
    <col min="1" max="1" width="31.28125" style="3" customWidth="1"/>
    <col min="2" max="2" width="9.140625" style="3" customWidth="1"/>
    <col min="3" max="3" width="9.28125" style="7" customWidth="1"/>
    <col min="4" max="4" width="8.140625" style="3" customWidth="1"/>
    <col min="5" max="5" width="11.28125" style="3" bestFit="1" customWidth="1"/>
    <col min="6" max="7" width="9.7109375" style="3" customWidth="1"/>
    <col min="8" max="8" width="10.8515625" style="3" customWidth="1"/>
    <col min="9" max="9" width="10.57421875" style="3" customWidth="1"/>
    <col min="10" max="10" width="12.57421875" style="3" customWidth="1"/>
    <col min="11" max="11" width="10.7109375" style="3" customWidth="1"/>
    <col min="12" max="16384" width="11.00390625" style="3" customWidth="1"/>
  </cols>
  <sheetData>
    <row r="1" spans="1:11" ht="7.5" customHeight="1">
      <c r="A1" s="57"/>
      <c r="B1" s="57"/>
      <c r="C1" s="58"/>
      <c r="D1" s="57"/>
      <c r="E1" s="57"/>
      <c r="F1" s="57"/>
      <c r="G1" s="57"/>
      <c r="H1" s="57"/>
      <c r="I1" s="57"/>
      <c r="J1" s="57"/>
      <c r="K1" s="57"/>
    </row>
    <row r="2" spans="1:11" s="1" customFormat="1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s="1" customFormat="1" ht="15.75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s="1" customFormat="1" ht="3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2" customFormat="1" ht="18.75" customHeight="1" thickBot="1">
      <c r="A5" s="55"/>
      <c r="B5" s="55"/>
      <c r="C5" s="56"/>
      <c r="D5" s="55"/>
      <c r="E5" s="55"/>
      <c r="F5" s="55"/>
      <c r="G5" s="55"/>
      <c r="H5" s="55"/>
      <c r="I5" s="55"/>
      <c r="J5" s="55"/>
      <c r="K5" s="20"/>
    </row>
    <row r="6" spans="1:11" ht="8.25" customHeight="1">
      <c r="A6" s="74"/>
      <c r="B6" s="75"/>
      <c r="C6" s="76"/>
      <c r="D6" s="77"/>
      <c r="E6" s="77"/>
      <c r="F6" s="77"/>
      <c r="G6" s="77"/>
      <c r="H6" s="94" t="s">
        <v>29</v>
      </c>
      <c r="I6" s="77"/>
      <c r="J6" s="75"/>
      <c r="K6" s="90" t="s">
        <v>28</v>
      </c>
    </row>
    <row r="7" spans="1:11" ht="15" customHeight="1">
      <c r="A7" s="78" t="s">
        <v>1</v>
      </c>
      <c r="B7" s="79" t="s">
        <v>26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95"/>
      <c r="I7" s="79" t="s">
        <v>7</v>
      </c>
      <c r="J7" s="79" t="s">
        <v>8</v>
      </c>
      <c r="K7" s="91"/>
    </row>
    <row r="8" spans="1:11" ht="16.5" customHeight="1" thickBot="1">
      <c r="A8" s="80"/>
      <c r="B8" s="81"/>
      <c r="C8" s="82"/>
      <c r="D8" s="83" t="s">
        <v>27</v>
      </c>
      <c r="E8" s="82" t="s">
        <v>8</v>
      </c>
      <c r="F8" s="82" t="s">
        <v>8</v>
      </c>
      <c r="G8" s="82" t="s">
        <v>8</v>
      </c>
      <c r="H8" s="96"/>
      <c r="I8" s="82" t="s">
        <v>8</v>
      </c>
      <c r="J8" s="82" t="s">
        <v>9</v>
      </c>
      <c r="K8" s="92"/>
    </row>
    <row r="9" spans="1:11" ht="3" customHeight="1">
      <c r="A9" s="10"/>
      <c r="B9" s="4"/>
      <c r="C9" s="5"/>
      <c r="D9" s="6"/>
      <c r="E9" s="5"/>
      <c r="F9" s="5"/>
      <c r="G9" s="5"/>
      <c r="H9" s="5"/>
      <c r="I9" s="5"/>
      <c r="J9" s="5"/>
      <c r="K9" s="11"/>
    </row>
    <row r="10" spans="1:11" ht="12.75">
      <c r="A10" s="26" t="s">
        <v>10</v>
      </c>
      <c r="B10" s="27"/>
      <c r="C10" s="28"/>
      <c r="D10" s="27"/>
      <c r="E10" s="29">
        <f>SUM(E11:E18)</f>
        <v>924.8370151946882</v>
      </c>
      <c r="F10" s="29">
        <f aca="true" t="shared" si="0" ref="F10:K10">SUM(F11:F18)</f>
        <v>79.84334038937655</v>
      </c>
      <c r="G10" s="29">
        <f t="shared" si="0"/>
        <v>127.61563744541975</v>
      </c>
      <c r="H10" s="29">
        <f t="shared" si="0"/>
        <v>1132.2959930294846</v>
      </c>
      <c r="I10" s="29">
        <f t="shared" si="0"/>
        <v>987.0376000382622</v>
      </c>
      <c r="J10" s="29">
        <f t="shared" si="0"/>
        <v>2119.3335930677467</v>
      </c>
      <c r="K10" s="59">
        <f t="shared" si="0"/>
        <v>0.24517769183178273</v>
      </c>
    </row>
    <row r="11" spans="1:11" ht="13.5">
      <c r="A11" s="30" t="s">
        <v>38</v>
      </c>
      <c r="B11" s="35">
        <v>15</v>
      </c>
      <c r="C11" s="32" t="s">
        <v>11</v>
      </c>
      <c r="D11" s="36">
        <v>50</v>
      </c>
      <c r="E11" s="31">
        <f>(D11*B11)</f>
        <v>750</v>
      </c>
      <c r="F11" s="27"/>
      <c r="G11" s="27"/>
      <c r="H11" s="33">
        <f>SUM(E11:G11)</f>
        <v>750</v>
      </c>
      <c r="I11" s="27"/>
      <c r="J11" s="31">
        <f>(D11*B11)</f>
        <v>750</v>
      </c>
      <c r="K11" s="34">
        <f>J11/J$39</f>
        <v>0.08676466483394198</v>
      </c>
    </row>
    <row r="12" spans="1:11" ht="13.5">
      <c r="A12" s="30" t="s">
        <v>39</v>
      </c>
      <c r="B12" s="35">
        <v>2</v>
      </c>
      <c r="C12" s="32" t="s">
        <v>11</v>
      </c>
      <c r="D12" s="36">
        <v>50</v>
      </c>
      <c r="E12" s="31">
        <f>(D12*B12)</f>
        <v>100</v>
      </c>
      <c r="F12" s="27"/>
      <c r="G12" s="27"/>
      <c r="H12" s="33">
        <f aca="true" t="shared" si="1" ref="H12:H35">SUM(E12:G12)</f>
        <v>100</v>
      </c>
      <c r="I12" s="27"/>
      <c r="J12" s="31">
        <f>(D12*B12)</f>
        <v>100</v>
      </c>
      <c r="K12" s="34">
        <f>J12/J$39</f>
        <v>0.01156862197785893</v>
      </c>
    </row>
    <row r="13" spans="1:11" ht="12.75">
      <c r="A13" s="30" t="s">
        <v>40</v>
      </c>
      <c r="B13" s="27"/>
      <c r="C13" s="28"/>
      <c r="D13" s="27"/>
      <c r="E13" s="27"/>
      <c r="F13" s="27"/>
      <c r="G13" s="27"/>
      <c r="H13" s="33"/>
      <c r="I13" s="27"/>
      <c r="J13" s="27"/>
      <c r="K13" s="34"/>
    </row>
    <row r="14" spans="1:11" ht="13.5">
      <c r="A14" s="30" t="s">
        <v>12</v>
      </c>
      <c r="B14" s="35">
        <f>3.77/44.43</f>
        <v>0.08485257708755345</v>
      </c>
      <c r="C14" s="32" t="s">
        <v>13</v>
      </c>
      <c r="D14" s="36">
        <v>1181.625</v>
      </c>
      <c r="E14" s="31">
        <f>(J14*0.02)</f>
        <v>2.005278528021607</v>
      </c>
      <c r="F14" s="31">
        <f>(J14*0.04)</f>
        <v>4.010557056043214</v>
      </c>
      <c r="G14" s="31">
        <f>(J14*0.08)</f>
        <v>8.021114112086428</v>
      </c>
      <c r="H14" s="33">
        <f t="shared" si="1"/>
        <v>14.036949696151249</v>
      </c>
      <c r="I14" s="31">
        <f>(J14*0.86)</f>
        <v>86.22697670492909</v>
      </c>
      <c r="J14" s="31">
        <f>(D14*B14)</f>
        <v>100.26392640108034</v>
      </c>
      <c r="K14" s="34">
        <f>J14/J$39</f>
        <v>0.011599154625499684</v>
      </c>
    </row>
    <row r="15" spans="1:11" ht="12.75">
      <c r="A15" s="30" t="s">
        <v>41</v>
      </c>
      <c r="B15" s="27"/>
      <c r="C15" s="28"/>
      <c r="D15" s="27"/>
      <c r="E15" s="31"/>
      <c r="F15" s="31"/>
      <c r="G15" s="31"/>
      <c r="H15" s="33"/>
      <c r="I15" s="31"/>
      <c r="J15" s="31"/>
      <c r="K15" s="34"/>
    </row>
    <row r="16" spans="1:11" ht="12.75">
      <c r="A16" s="30" t="s">
        <v>14</v>
      </c>
      <c r="B16" s="37">
        <v>0.9147</v>
      </c>
      <c r="C16" s="32" t="s">
        <v>15</v>
      </c>
      <c r="D16" s="31">
        <v>950</v>
      </c>
      <c r="E16" s="31">
        <f>(J16*0.07)</f>
        <v>60.82755</v>
      </c>
      <c r="F16" s="31">
        <f>(J16*0.07)</f>
        <v>60.82755</v>
      </c>
      <c r="G16" s="31">
        <f>(J16*0.11)</f>
        <v>95.58614999999999</v>
      </c>
      <c r="H16" s="33">
        <f t="shared" si="1"/>
        <v>217.24124999999998</v>
      </c>
      <c r="I16" s="31">
        <f>(J16*0.75)</f>
        <v>651.7237499999999</v>
      </c>
      <c r="J16" s="31">
        <f>(D16*B16)</f>
        <v>868.9649999999999</v>
      </c>
      <c r="K16" s="34">
        <f>J16/J$39</f>
        <v>0.10052727596990185</v>
      </c>
    </row>
    <row r="17" spans="1:11" ht="12.75">
      <c r="A17" s="30" t="s">
        <v>42</v>
      </c>
      <c r="B17" s="27"/>
      <c r="C17" s="28"/>
      <c r="D17" s="27"/>
      <c r="E17" s="31"/>
      <c r="F17" s="31"/>
      <c r="G17" s="31"/>
      <c r="H17" s="33"/>
      <c r="I17" s="31"/>
      <c r="J17" s="31"/>
      <c r="K17" s="34"/>
    </row>
    <row r="18" spans="1:11" ht="12.75">
      <c r="A18" s="30" t="s">
        <v>16</v>
      </c>
      <c r="B18" s="37">
        <v>0.8914</v>
      </c>
      <c r="C18" s="32" t="s">
        <v>17</v>
      </c>
      <c r="D18" s="31">
        <v>336.6666666666667</v>
      </c>
      <c r="E18" s="31">
        <f>(J18*0.04)</f>
        <v>12.004186666666667</v>
      </c>
      <c r="F18" s="31">
        <f>(J18*0.05)</f>
        <v>15.005233333333335</v>
      </c>
      <c r="G18" s="31">
        <f>(J18*0.08)</f>
        <v>24.008373333333335</v>
      </c>
      <c r="H18" s="33">
        <f t="shared" si="1"/>
        <v>51.01779333333334</v>
      </c>
      <c r="I18" s="31">
        <f>(J18*0.83)</f>
        <v>249.08687333333333</v>
      </c>
      <c r="J18" s="31">
        <f>(D18*B18)</f>
        <v>300.1046666666667</v>
      </c>
      <c r="K18" s="34">
        <f>J18/J$39</f>
        <v>0.034717974424580286</v>
      </c>
    </row>
    <row r="19" spans="1:11" ht="5.25" customHeight="1">
      <c r="A19" s="38"/>
      <c r="B19" s="27"/>
      <c r="C19" s="28"/>
      <c r="D19" s="27"/>
      <c r="E19" s="31"/>
      <c r="F19" s="31"/>
      <c r="G19" s="31"/>
      <c r="H19" s="33"/>
      <c r="I19" s="31"/>
      <c r="J19" s="31"/>
      <c r="K19" s="34"/>
    </row>
    <row r="20" spans="1:11" ht="12.75">
      <c r="A20" s="26" t="s">
        <v>18</v>
      </c>
      <c r="B20" s="27"/>
      <c r="C20" s="28"/>
      <c r="D20" s="27"/>
      <c r="E20" s="39">
        <f>SUM(E21:E23)</f>
        <v>650</v>
      </c>
      <c r="F20" s="39">
        <f aca="true" t="shared" si="2" ref="F20:K20">SUM(F21:F23)</f>
        <v>0</v>
      </c>
      <c r="G20" s="39">
        <f t="shared" si="2"/>
        <v>0</v>
      </c>
      <c r="H20" s="39">
        <f t="shared" si="2"/>
        <v>650</v>
      </c>
      <c r="I20" s="39">
        <f t="shared" si="2"/>
        <v>0</v>
      </c>
      <c r="J20" s="39">
        <f t="shared" si="2"/>
        <v>650</v>
      </c>
      <c r="K20" s="60">
        <f t="shared" si="2"/>
        <v>0.07519604285608306</v>
      </c>
    </row>
    <row r="21" spans="1:11" ht="12.75">
      <c r="A21" s="30" t="s">
        <v>43</v>
      </c>
      <c r="B21" s="40">
        <v>1</v>
      </c>
      <c r="C21" s="32" t="s">
        <v>19</v>
      </c>
      <c r="D21" s="31">
        <v>250</v>
      </c>
      <c r="E21" s="31">
        <f>D21*B21</f>
        <v>250</v>
      </c>
      <c r="F21" s="31" t="s">
        <v>20</v>
      </c>
      <c r="G21" s="31" t="s">
        <v>20</v>
      </c>
      <c r="H21" s="33">
        <f>SUM(E21:G21)</f>
        <v>250</v>
      </c>
      <c r="I21" s="41" t="s">
        <v>20</v>
      </c>
      <c r="J21" s="31">
        <f>(D21*B21)</f>
        <v>250</v>
      </c>
      <c r="K21" s="34">
        <f>J21/J$39</f>
        <v>0.028921554944647328</v>
      </c>
    </row>
    <row r="22" spans="1:11" ht="12.75">
      <c r="A22" s="30" t="s">
        <v>44</v>
      </c>
      <c r="B22" s="40">
        <v>1</v>
      </c>
      <c r="C22" s="32" t="s">
        <v>19</v>
      </c>
      <c r="D22" s="31">
        <v>200</v>
      </c>
      <c r="E22" s="31">
        <f>D22*B22</f>
        <v>200</v>
      </c>
      <c r="F22" s="31" t="s">
        <v>20</v>
      </c>
      <c r="G22" s="31" t="s">
        <v>20</v>
      </c>
      <c r="H22" s="33">
        <f t="shared" si="1"/>
        <v>200</v>
      </c>
      <c r="I22" s="41" t="s">
        <v>20</v>
      </c>
      <c r="J22" s="31">
        <f>(D22*B22)</f>
        <v>200</v>
      </c>
      <c r="K22" s="34">
        <f>J22/J$39</f>
        <v>0.02313724395571786</v>
      </c>
    </row>
    <row r="23" spans="1:11" ht="12.75">
      <c r="A23" s="30" t="s">
        <v>45</v>
      </c>
      <c r="B23" s="40">
        <v>1</v>
      </c>
      <c r="C23" s="32" t="s">
        <v>19</v>
      </c>
      <c r="D23" s="31">
        <v>200</v>
      </c>
      <c r="E23" s="31">
        <f>D23*B23</f>
        <v>200</v>
      </c>
      <c r="F23" s="31" t="s">
        <v>20</v>
      </c>
      <c r="G23" s="31" t="s">
        <v>20</v>
      </c>
      <c r="H23" s="33">
        <f t="shared" si="1"/>
        <v>200</v>
      </c>
      <c r="I23" s="41" t="s">
        <v>20</v>
      </c>
      <c r="J23" s="31">
        <f>(D23*B23)</f>
        <v>200</v>
      </c>
      <c r="K23" s="34">
        <f>J23/J$39</f>
        <v>0.02313724395571786</v>
      </c>
    </row>
    <row r="24" spans="1:11" ht="13.5" customHeight="1">
      <c r="A24" s="38"/>
      <c r="B24" s="27"/>
      <c r="C24" s="28"/>
      <c r="D24" s="31"/>
      <c r="E24" s="31"/>
      <c r="F24" s="31"/>
      <c r="G24" s="31"/>
      <c r="H24" s="33">
        <f t="shared" si="1"/>
        <v>0</v>
      </c>
      <c r="I24" s="31"/>
      <c r="J24" s="31"/>
      <c r="K24" s="34"/>
    </row>
    <row r="25" spans="1:11" ht="12.75">
      <c r="A25" s="26" t="s">
        <v>21</v>
      </c>
      <c r="B25" s="27"/>
      <c r="C25" s="42"/>
      <c r="D25" s="42"/>
      <c r="E25" s="43">
        <f>SUM(E26:E35)</f>
        <v>490.66544999999996</v>
      </c>
      <c r="F25" s="43">
        <f aca="true" t="shared" si="3" ref="F25:K25">SUM(F26:F35)</f>
        <v>244.6941</v>
      </c>
      <c r="G25" s="43">
        <f t="shared" si="3"/>
        <v>448.09069</v>
      </c>
      <c r="H25" s="43">
        <f t="shared" si="3"/>
        <v>1183.4502400000003</v>
      </c>
      <c r="I25" s="43">
        <f t="shared" si="3"/>
        <v>3893.7198</v>
      </c>
      <c r="J25" s="43">
        <f t="shared" si="3"/>
        <v>5077.5</v>
      </c>
      <c r="K25" s="60">
        <f t="shared" si="3"/>
        <v>0.5873967809257872</v>
      </c>
    </row>
    <row r="26" spans="1:11" ht="12.75">
      <c r="A26" s="30" t="s">
        <v>46</v>
      </c>
      <c r="B26" s="40">
        <v>0.126</v>
      </c>
      <c r="C26" s="32" t="s">
        <v>22</v>
      </c>
      <c r="D26" s="31">
        <v>500</v>
      </c>
      <c r="E26" s="31">
        <f>(D26*B26)</f>
        <v>63</v>
      </c>
      <c r="F26" s="41" t="s">
        <v>20</v>
      </c>
      <c r="G26" s="41" t="s">
        <v>20</v>
      </c>
      <c r="H26" s="33">
        <f t="shared" si="1"/>
        <v>63</v>
      </c>
      <c r="I26" s="41" t="s">
        <v>20</v>
      </c>
      <c r="J26" s="31">
        <f aca="true" t="shared" si="4" ref="J26:J35">(D26*B26)</f>
        <v>63</v>
      </c>
      <c r="K26" s="34">
        <f aca="true" t="shared" si="5" ref="K26:K35">J26/J$39</f>
        <v>0.007288231846051126</v>
      </c>
    </row>
    <row r="27" spans="1:11" ht="12.75">
      <c r="A27" s="30" t="s">
        <v>47</v>
      </c>
      <c r="B27" s="40">
        <v>0.376</v>
      </c>
      <c r="C27" s="32" t="s">
        <v>22</v>
      </c>
      <c r="D27" s="31">
        <f>+D26</f>
        <v>500</v>
      </c>
      <c r="E27" s="31">
        <v>3.4</v>
      </c>
      <c r="F27" s="41" t="s">
        <v>20</v>
      </c>
      <c r="G27" s="44">
        <f>(J27*0.85)</f>
        <v>159.79999999999998</v>
      </c>
      <c r="H27" s="33">
        <f>SUM(E27:G27)</f>
        <v>163.2</v>
      </c>
      <c r="I27" s="41">
        <f>J27-H27</f>
        <v>24.80000000000001</v>
      </c>
      <c r="J27" s="31">
        <f t="shared" si="4"/>
        <v>188</v>
      </c>
      <c r="K27" s="34">
        <f t="shared" si="5"/>
        <v>0.021749009318374788</v>
      </c>
    </row>
    <row r="28" spans="1:11" ht="12.75">
      <c r="A28" s="30" t="s">
        <v>48</v>
      </c>
      <c r="B28" s="40">
        <v>0.626</v>
      </c>
      <c r="C28" s="32" t="s">
        <v>22</v>
      </c>
      <c r="D28" s="31">
        <f aca="true" t="shared" si="6" ref="D28:D35">+D27</f>
        <v>500</v>
      </c>
      <c r="E28" s="31">
        <f>(D28*B28)</f>
        <v>313</v>
      </c>
      <c r="F28" s="41" t="s">
        <v>20</v>
      </c>
      <c r="G28" s="41" t="s">
        <v>20</v>
      </c>
      <c r="H28" s="33">
        <f t="shared" si="1"/>
        <v>313</v>
      </c>
      <c r="I28" s="41" t="s">
        <v>20</v>
      </c>
      <c r="J28" s="31">
        <f t="shared" si="4"/>
        <v>313</v>
      </c>
      <c r="K28" s="34">
        <f t="shared" si="5"/>
        <v>0.03620978679069845</v>
      </c>
    </row>
    <row r="29" spans="1:12" ht="12.75">
      <c r="A29" s="30" t="s">
        <v>49</v>
      </c>
      <c r="B29" s="40">
        <v>0.094</v>
      </c>
      <c r="C29" s="32" t="s">
        <v>22</v>
      </c>
      <c r="D29" s="31">
        <f t="shared" si="6"/>
        <v>500</v>
      </c>
      <c r="E29" s="41" t="s">
        <v>20</v>
      </c>
      <c r="F29" s="31">
        <f>(D29*B29)</f>
        <v>47</v>
      </c>
      <c r="G29" s="41" t="s">
        <v>20</v>
      </c>
      <c r="H29" s="33">
        <f t="shared" si="1"/>
        <v>47</v>
      </c>
      <c r="I29" s="31"/>
      <c r="J29" s="31">
        <f t="shared" si="4"/>
        <v>47</v>
      </c>
      <c r="K29" s="34">
        <f t="shared" si="5"/>
        <v>0.005437252329593697</v>
      </c>
      <c r="L29" s="12"/>
    </row>
    <row r="30" spans="1:11" ht="12.75">
      <c r="A30" s="30" t="s">
        <v>50</v>
      </c>
      <c r="B30" s="40">
        <v>1.988</v>
      </c>
      <c r="C30" s="32" t="s">
        <v>22</v>
      </c>
      <c r="D30" s="31">
        <f t="shared" si="6"/>
        <v>500</v>
      </c>
      <c r="E30" s="31">
        <v>2.99</v>
      </c>
      <c r="F30" s="31">
        <f>(J30*0.062)</f>
        <v>61.628</v>
      </c>
      <c r="G30" s="31">
        <f>(J30*0.07466)</f>
        <v>74.21204</v>
      </c>
      <c r="H30" s="33">
        <f t="shared" si="1"/>
        <v>138.83004</v>
      </c>
      <c r="I30" s="31">
        <f>(J30*0.86)</f>
        <v>854.84</v>
      </c>
      <c r="J30" s="31">
        <f t="shared" si="4"/>
        <v>994</v>
      </c>
      <c r="K30" s="34">
        <f t="shared" si="5"/>
        <v>0.11499210245991777</v>
      </c>
    </row>
    <row r="31" spans="1:11" ht="12.75">
      <c r="A31" s="30" t="s">
        <v>51</v>
      </c>
      <c r="B31" s="40">
        <v>0.3366</v>
      </c>
      <c r="C31" s="32" t="s">
        <v>22</v>
      </c>
      <c r="D31" s="31">
        <f t="shared" si="6"/>
        <v>500</v>
      </c>
      <c r="E31" s="31">
        <f>(J31*0.047)</f>
        <v>7.910100000000001</v>
      </c>
      <c r="F31" s="31">
        <f>(J31*0.05)</f>
        <v>8.415000000000001</v>
      </c>
      <c r="G31" s="31">
        <f>(J31*0.094)</f>
        <v>15.820200000000002</v>
      </c>
      <c r="H31" s="33">
        <f t="shared" si="1"/>
        <v>32.145300000000006</v>
      </c>
      <c r="I31" s="31">
        <f>(J31*0.809)</f>
        <v>136.15470000000002</v>
      </c>
      <c r="J31" s="31">
        <f t="shared" si="4"/>
        <v>168.3</v>
      </c>
      <c r="K31" s="34">
        <f t="shared" si="5"/>
        <v>0.019469990788736583</v>
      </c>
    </row>
    <row r="32" spans="1:11" ht="12.75">
      <c r="A32" s="30" t="s">
        <v>52</v>
      </c>
      <c r="B32" s="40">
        <f>0.1739+0.1768</f>
        <v>0.3507</v>
      </c>
      <c r="C32" s="32" t="s">
        <v>22</v>
      </c>
      <c r="D32" s="31">
        <f t="shared" si="6"/>
        <v>500</v>
      </c>
      <c r="E32" s="31">
        <f>(J32*0.046)</f>
        <v>8.066099999999999</v>
      </c>
      <c r="F32" s="31">
        <f>(J32*0.046)</f>
        <v>8.066099999999999</v>
      </c>
      <c r="G32" s="31">
        <f>(J32*0.047)</f>
        <v>8.24145</v>
      </c>
      <c r="H32" s="33">
        <f t="shared" si="1"/>
        <v>24.373649999999998</v>
      </c>
      <c r="I32" s="31">
        <f>(J32*0.861)</f>
        <v>150.97635</v>
      </c>
      <c r="J32" s="31">
        <f t="shared" si="4"/>
        <v>175.35</v>
      </c>
      <c r="K32" s="34">
        <f t="shared" si="5"/>
        <v>0.020285578638175632</v>
      </c>
    </row>
    <row r="33" spans="1:11" ht="12.75">
      <c r="A33" s="30" t="s">
        <v>53</v>
      </c>
      <c r="B33" s="40">
        <v>1.4077</v>
      </c>
      <c r="C33" s="32" t="s">
        <v>22</v>
      </c>
      <c r="D33" s="31">
        <f t="shared" si="6"/>
        <v>500</v>
      </c>
      <c r="E33" s="31">
        <f>(J33*0.085)</f>
        <v>59.82725000000001</v>
      </c>
      <c r="F33" s="31">
        <f>(J33*0.1)</f>
        <v>70.385</v>
      </c>
      <c r="G33" s="31">
        <f>(J33*0.1)</f>
        <v>70.385</v>
      </c>
      <c r="H33" s="33">
        <f t="shared" si="1"/>
        <v>200.59725000000003</v>
      </c>
      <c r="I33" s="31">
        <f>(J33*0.715)</f>
        <v>503.25275</v>
      </c>
      <c r="J33" s="31">
        <f t="shared" si="4"/>
        <v>703.85</v>
      </c>
      <c r="K33" s="34">
        <f t="shared" si="5"/>
        <v>0.08142574579116009</v>
      </c>
    </row>
    <row r="34" spans="1:12" ht="12.75">
      <c r="A34" s="30" t="s">
        <v>54</v>
      </c>
      <c r="B34" s="40">
        <v>1.968</v>
      </c>
      <c r="C34" s="32" t="s">
        <v>22</v>
      </c>
      <c r="D34" s="31">
        <f t="shared" si="6"/>
        <v>500</v>
      </c>
      <c r="E34" s="31">
        <f>(J34*0.033)</f>
        <v>32.472</v>
      </c>
      <c r="F34" s="31">
        <f>(J34*0.05)</f>
        <v>49.2</v>
      </c>
      <c r="G34" s="31">
        <f>(J34*0.063)</f>
        <v>61.992</v>
      </c>
      <c r="H34" s="33">
        <f t="shared" si="1"/>
        <v>143.664</v>
      </c>
      <c r="I34" s="31">
        <f>(J34*0.854)</f>
        <v>840.336</v>
      </c>
      <c r="J34" s="31">
        <f t="shared" si="4"/>
        <v>984</v>
      </c>
      <c r="K34" s="34">
        <f t="shared" si="5"/>
        <v>0.11383524026213188</v>
      </c>
      <c r="L34" s="3" t="s">
        <v>31</v>
      </c>
    </row>
    <row r="35" spans="1:11" ht="13.5" thickBot="1">
      <c r="A35" s="45" t="s">
        <v>55</v>
      </c>
      <c r="B35" s="46">
        <v>2.882</v>
      </c>
      <c r="C35" s="47" t="s">
        <v>22</v>
      </c>
      <c r="D35" s="48">
        <f t="shared" si="6"/>
        <v>500</v>
      </c>
      <c r="E35" s="49" t="s">
        <v>20</v>
      </c>
      <c r="F35" s="49" t="s">
        <v>20</v>
      </c>
      <c r="G35" s="48">
        <f>(J35*0.04)</f>
        <v>57.64</v>
      </c>
      <c r="H35" s="50">
        <f t="shared" si="1"/>
        <v>57.64</v>
      </c>
      <c r="I35" s="48">
        <f>(J35*0.96)</f>
        <v>1383.36</v>
      </c>
      <c r="J35" s="48">
        <f t="shared" si="4"/>
        <v>1441</v>
      </c>
      <c r="K35" s="51">
        <f t="shared" si="5"/>
        <v>0.16670384270094718</v>
      </c>
    </row>
    <row r="36" spans="1:11" ht="14.25" customHeight="1">
      <c r="A36" s="63" t="s">
        <v>23</v>
      </c>
      <c r="B36" s="64"/>
      <c r="C36" s="65"/>
      <c r="D36" s="64"/>
      <c r="E36" s="66">
        <f aca="true" t="shared" si="7" ref="E36:J36">E10+E20+E25</f>
        <v>2065.5024651946883</v>
      </c>
      <c r="F36" s="66">
        <f t="shared" si="7"/>
        <v>324.53744038937657</v>
      </c>
      <c r="G36" s="66">
        <f t="shared" si="7"/>
        <v>575.7063274454198</v>
      </c>
      <c r="H36" s="66">
        <f t="shared" si="7"/>
        <v>2965.7462330294848</v>
      </c>
      <c r="I36" s="66">
        <f t="shared" si="7"/>
        <v>4880.757400038262</v>
      </c>
      <c r="J36" s="68">
        <f t="shared" si="7"/>
        <v>7846.833593067747</v>
      </c>
      <c r="K36" s="67">
        <f>K10+K20+K25</f>
        <v>0.907770515613653</v>
      </c>
    </row>
    <row r="37" spans="1:12" ht="12.75">
      <c r="A37" s="54" t="s">
        <v>24</v>
      </c>
      <c r="B37" s="52"/>
      <c r="C37" s="53"/>
      <c r="D37" s="52"/>
      <c r="E37" s="36">
        <f aca="true" t="shared" si="8" ref="E37:J37">(E36*0.02)</f>
        <v>41.31004930389377</v>
      </c>
      <c r="F37" s="36">
        <f t="shared" si="8"/>
        <v>6.490748807787532</v>
      </c>
      <c r="G37" s="36">
        <f t="shared" si="8"/>
        <v>11.514126548908395</v>
      </c>
      <c r="H37" s="36">
        <f t="shared" si="8"/>
        <v>59.314924660589696</v>
      </c>
      <c r="I37" s="36">
        <f t="shared" si="8"/>
        <v>97.61514800076525</v>
      </c>
      <c r="J37" s="69">
        <f t="shared" si="8"/>
        <v>156.93667186135494</v>
      </c>
      <c r="K37" s="70">
        <f>J37/J$39</f>
        <v>0.01815541031227306</v>
      </c>
      <c r="L37" s="72">
        <f>+J37+J38</f>
        <v>797.2382930556831</v>
      </c>
    </row>
    <row r="38" spans="1:11" ht="12.75">
      <c r="A38" s="54" t="s">
        <v>57</v>
      </c>
      <c r="B38" s="52"/>
      <c r="C38" s="53"/>
      <c r="D38" s="52"/>
      <c r="E38" s="36">
        <f aca="true" t="shared" si="9" ref="E38:J38">SUM(E36:E37)*0.08</f>
        <v>168.54500115988657</v>
      </c>
      <c r="F38" s="36">
        <f t="shared" si="9"/>
        <v>26.48225513577313</v>
      </c>
      <c r="G38" s="36">
        <f t="shared" si="9"/>
        <v>46.97763631954626</v>
      </c>
      <c r="H38" s="36">
        <f t="shared" si="9"/>
        <v>242.004892615206</v>
      </c>
      <c r="I38" s="36">
        <f t="shared" si="9"/>
        <v>398.2698038431222</v>
      </c>
      <c r="J38" s="69">
        <f t="shared" si="9"/>
        <v>640.3016211943282</v>
      </c>
      <c r="K38" s="70">
        <f>J38/J$39</f>
        <v>0.07407407407407408</v>
      </c>
    </row>
    <row r="39" spans="1:11" ht="16.5" customHeight="1" thickBot="1">
      <c r="A39" s="84" t="s">
        <v>25</v>
      </c>
      <c r="B39" s="85"/>
      <c r="C39" s="86"/>
      <c r="D39" s="85"/>
      <c r="E39" s="87">
        <f aca="true" t="shared" si="10" ref="E39:J39">SUM(E36:E38)</f>
        <v>2275.3575156584684</v>
      </c>
      <c r="F39" s="87">
        <f t="shared" si="10"/>
        <v>357.51044433293725</v>
      </c>
      <c r="G39" s="87">
        <f t="shared" si="10"/>
        <v>634.1980903138744</v>
      </c>
      <c r="H39" s="87">
        <f t="shared" si="10"/>
        <v>3267.0660503052804</v>
      </c>
      <c r="I39" s="87">
        <f t="shared" si="10"/>
        <v>5376.64235188215</v>
      </c>
      <c r="J39" s="87">
        <f t="shared" si="10"/>
        <v>8644.071886123429</v>
      </c>
      <c r="K39" s="88">
        <f>SUM(K36:K38)</f>
        <v>1.0000000000000002</v>
      </c>
    </row>
    <row r="40" spans="1:13" s="2" customFormat="1" ht="14.25" customHeight="1">
      <c r="A40" s="16" t="s">
        <v>34</v>
      </c>
      <c r="B40" s="17"/>
      <c r="C40" s="18"/>
      <c r="D40" s="17"/>
      <c r="E40" s="19"/>
      <c r="F40" s="19"/>
      <c r="G40" s="19"/>
      <c r="H40" s="19"/>
      <c r="I40" s="19"/>
      <c r="J40" s="19"/>
      <c r="K40" s="21"/>
      <c r="M40" s="3"/>
    </row>
    <row r="41" spans="1:13" s="2" customFormat="1" ht="44.25" customHeight="1">
      <c r="A41" s="100" t="s">
        <v>59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21"/>
      <c r="M41" s="3"/>
    </row>
    <row r="42" spans="1:14" s="14" customFormat="1" ht="13.5" customHeight="1">
      <c r="A42" s="97" t="s">
        <v>33</v>
      </c>
      <c r="B42" s="97"/>
      <c r="C42" s="97"/>
      <c r="D42" s="97"/>
      <c r="E42" s="97"/>
      <c r="F42" s="97"/>
      <c r="G42" s="97"/>
      <c r="H42" s="97"/>
      <c r="I42" s="97"/>
      <c r="J42" s="97"/>
      <c r="K42" s="22"/>
      <c r="M42" s="71"/>
      <c r="N42" s="15"/>
    </row>
    <row r="43" spans="1:11" s="14" customFormat="1" ht="15" customHeight="1">
      <c r="A43" s="98" t="s">
        <v>30</v>
      </c>
      <c r="B43" s="98"/>
      <c r="C43" s="98"/>
      <c r="D43" s="98"/>
      <c r="E43" s="98"/>
      <c r="F43" s="98"/>
      <c r="G43" s="98"/>
      <c r="H43" s="98"/>
      <c r="I43" s="98"/>
      <c r="J43" s="98"/>
      <c r="K43" s="22"/>
    </row>
    <row r="44" spans="1:11" s="14" customFormat="1" ht="12" customHeight="1">
      <c r="A44" s="22" t="s">
        <v>32</v>
      </c>
      <c r="B44" s="22"/>
      <c r="C44" s="23"/>
      <c r="D44" s="24"/>
      <c r="E44" s="22"/>
      <c r="F44" s="22"/>
      <c r="G44" s="23"/>
      <c r="H44" s="24"/>
      <c r="I44" s="61">
        <v>1000</v>
      </c>
      <c r="J44" s="25">
        <v>600</v>
      </c>
      <c r="K44" s="22"/>
    </row>
    <row r="45" spans="1:12" s="14" customFormat="1" ht="13.5" customHeight="1">
      <c r="A45" s="99" t="s">
        <v>36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3"/>
    </row>
    <row r="46" spans="1:11" s="14" customFormat="1" ht="14.25" customHeight="1">
      <c r="A46" s="22" t="s">
        <v>37</v>
      </c>
      <c r="B46" s="22"/>
      <c r="C46" s="22"/>
      <c r="D46" s="22"/>
      <c r="E46" s="22"/>
      <c r="F46" s="22"/>
      <c r="G46" s="22"/>
      <c r="H46" s="22"/>
      <c r="I46" s="22"/>
      <c r="J46" s="62">
        <f>(500+700)/2</f>
        <v>600</v>
      </c>
      <c r="K46" s="22"/>
    </row>
    <row r="47" spans="1:11" s="14" customFormat="1" ht="13.5">
      <c r="A47" s="22" t="s">
        <v>35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6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2.75">
      <c r="A49" s="89" t="s">
        <v>56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8" spans="2:4" ht="12.75">
      <c r="B58" s="8"/>
      <c r="D58" s="8"/>
    </row>
    <row r="59" spans="2:4" ht="12.75">
      <c r="B59" s="8"/>
      <c r="D59" s="8"/>
    </row>
    <row r="60" ht="12.75">
      <c r="D60" s="8"/>
    </row>
    <row r="61" spans="4:10" ht="12.75">
      <c r="D61" s="8"/>
      <c r="E61" s="8"/>
      <c r="F61" s="8"/>
      <c r="G61" s="8"/>
      <c r="H61" s="8"/>
      <c r="I61" s="8"/>
      <c r="J61" s="8"/>
    </row>
    <row r="62" spans="4:10" ht="12.75">
      <c r="D62" s="8"/>
      <c r="E62" s="8"/>
      <c r="F62" s="8"/>
      <c r="G62" s="8"/>
      <c r="H62" s="8"/>
      <c r="I62" s="8"/>
      <c r="J62" s="8"/>
    </row>
    <row r="63" spans="4:10" ht="12.75">
      <c r="D63" s="8"/>
      <c r="E63" s="8"/>
      <c r="F63" s="8"/>
      <c r="G63" s="8"/>
      <c r="H63" s="8"/>
      <c r="I63" s="8"/>
      <c r="J63" s="8"/>
    </row>
    <row r="64" spans="4:10" ht="12.75">
      <c r="D64" s="8"/>
      <c r="E64" s="8"/>
      <c r="F64" s="8"/>
      <c r="G64" s="8"/>
      <c r="H64" s="8"/>
      <c r="I64" s="8"/>
      <c r="J64" s="8"/>
    </row>
    <row r="65" spans="4:10" ht="12.75">
      <c r="D65" s="8"/>
      <c r="E65" s="8"/>
      <c r="F65" s="8"/>
      <c r="G65" s="8"/>
      <c r="H65" s="8"/>
      <c r="I65" s="8"/>
      <c r="J65" s="8"/>
    </row>
    <row r="66" spans="4:10" ht="12.75">
      <c r="D66" s="8"/>
      <c r="E66" s="8"/>
      <c r="F66" s="8"/>
      <c r="G66" s="8"/>
      <c r="H66" s="8"/>
      <c r="I66" s="8"/>
      <c r="J66" s="8"/>
    </row>
    <row r="67" spans="4:10" ht="12.75">
      <c r="D67" s="8"/>
      <c r="E67" s="8"/>
      <c r="F67" s="8"/>
      <c r="G67" s="8"/>
      <c r="H67" s="8"/>
      <c r="I67" s="8"/>
      <c r="J67" s="8"/>
    </row>
    <row r="68" spans="2:10" ht="12.75">
      <c r="B68" s="9"/>
      <c r="D68" s="8"/>
      <c r="E68" s="8"/>
      <c r="F68" s="8"/>
      <c r="G68" s="8"/>
      <c r="H68" s="8"/>
      <c r="I68" s="8"/>
      <c r="J68" s="8"/>
    </row>
    <row r="69" spans="2:10" ht="12.75">
      <c r="B69" s="9"/>
      <c r="D69" s="8"/>
      <c r="E69" s="8"/>
      <c r="F69" s="8"/>
      <c r="G69" s="8"/>
      <c r="H69" s="8"/>
      <c r="I69" s="8"/>
      <c r="J69" s="8"/>
    </row>
    <row r="70" spans="2:10" ht="12.75">
      <c r="B70" s="9"/>
      <c r="D70" s="8"/>
      <c r="E70" s="8"/>
      <c r="F70" s="8"/>
      <c r="G70" s="8"/>
      <c r="H70" s="8"/>
      <c r="I70" s="8"/>
      <c r="J70" s="8"/>
    </row>
    <row r="71" spans="4:10" ht="12.75">
      <c r="D71" s="8"/>
      <c r="E71" s="8"/>
      <c r="F71" s="8"/>
      <c r="G71" s="8"/>
      <c r="H71" s="8"/>
      <c r="I71" s="8"/>
      <c r="J71" s="8"/>
    </row>
    <row r="72" spans="4:10" ht="12.75">
      <c r="D72" s="8"/>
      <c r="E72" s="8"/>
      <c r="F72" s="8"/>
      <c r="G72" s="8"/>
      <c r="H72" s="8"/>
      <c r="I72" s="8"/>
      <c r="J72" s="8"/>
    </row>
    <row r="73" spans="2:10" ht="12.75">
      <c r="B73" s="9"/>
      <c r="D73" s="8"/>
      <c r="E73" s="8"/>
      <c r="F73" s="8"/>
      <c r="G73" s="8"/>
      <c r="H73" s="8"/>
      <c r="I73" s="8"/>
      <c r="J73" s="8"/>
    </row>
    <row r="74" spans="2:10" ht="12.75">
      <c r="B74" s="9"/>
      <c r="D74" s="8"/>
      <c r="E74" s="8"/>
      <c r="F74" s="8"/>
      <c r="G74" s="8"/>
      <c r="H74" s="8"/>
      <c r="I74" s="8"/>
      <c r="J74" s="8"/>
    </row>
    <row r="75" spans="2:10" ht="12.75">
      <c r="B75" s="9"/>
      <c r="D75" s="8"/>
      <c r="E75" s="8"/>
      <c r="F75" s="8"/>
      <c r="G75" s="8"/>
      <c r="H75" s="8"/>
      <c r="I75" s="8"/>
      <c r="J75" s="8"/>
    </row>
    <row r="76" spans="2:10" ht="12.75">
      <c r="B76" s="9"/>
      <c r="D76" s="8"/>
      <c r="E76" s="8"/>
      <c r="F76" s="8"/>
      <c r="G76" s="8"/>
      <c r="H76" s="8"/>
      <c r="I76" s="8"/>
      <c r="J76" s="8"/>
    </row>
    <row r="77" spans="2:10" ht="12.75">
      <c r="B77" s="9"/>
      <c r="D77" s="8"/>
      <c r="E77" s="8"/>
      <c r="F77" s="8"/>
      <c r="G77" s="8"/>
      <c r="H77" s="8"/>
      <c r="I77" s="8"/>
      <c r="J77" s="8"/>
    </row>
    <row r="78" spans="2:10" ht="12.75">
      <c r="B78" s="9"/>
      <c r="D78" s="8"/>
      <c r="E78" s="8"/>
      <c r="F78" s="8"/>
      <c r="G78" s="8"/>
      <c r="H78" s="8"/>
      <c r="I78" s="8"/>
      <c r="J78" s="8"/>
    </row>
    <row r="79" spans="2:10" ht="12.75">
      <c r="B79" s="9"/>
      <c r="D79" s="8"/>
      <c r="E79" s="8"/>
      <c r="F79" s="8"/>
      <c r="G79" s="8"/>
      <c r="H79" s="8"/>
      <c r="I79" s="8"/>
      <c r="J79" s="8"/>
    </row>
    <row r="80" spans="2:10" ht="12.75">
      <c r="B80" s="9"/>
      <c r="D80" s="8"/>
      <c r="E80" s="8"/>
      <c r="F80" s="8"/>
      <c r="G80" s="8"/>
      <c r="H80" s="8"/>
      <c r="I80" s="8"/>
      <c r="J80" s="8"/>
    </row>
    <row r="81" spans="2:10" ht="12.75">
      <c r="B81" s="9"/>
      <c r="D81" s="8"/>
      <c r="E81" s="8"/>
      <c r="F81" s="8"/>
      <c r="G81" s="8"/>
      <c r="H81" s="8"/>
      <c r="I81" s="8"/>
      <c r="J81" s="8"/>
    </row>
    <row r="82" spans="2:10" ht="12.75">
      <c r="B82" s="9"/>
      <c r="D82" s="8"/>
      <c r="E82" s="8"/>
      <c r="F82" s="8"/>
      <c r="G82" s="8"/>
      <c r="H82" s="8"/>
      <c r="I82" s="8"/>
      <c r="J82" s="8"/>
    </row>
  </sheetData>
  <sheetProtection/>
  <mergeCells count="9">
    <mergeCell ref="A49:K49"/>
    <mergeCell ref="K6:K8"/>
    <mergeCell ref="A2:K2"/>
    <mergeCell ref="A3:K3"/>
    <mergeCell ref="H6:H8"/>
    <mergeCell ref="A42:J42"/>
    <mergeCell ref="A43:J43"/>
    <mergeCell ref="A45:K45"/>
    <mergeCell ref="A41:J41"/>
  </mergeCells>
  <printOptions/>
  <pageMargins left="1.33" right="0.15748031496062992" top="0.33" bottom="0.2755905511811024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2017-04-25T17:26:18Z</cp:lastPrinted>
  <dcterms:created xsi:type="dcterms:W3CDTF">2007-12-07T16:38:34Z</dcterms:created>
  <dcterms:modified xsi:type="dcterms:W3CDTF">2019-07-19T16:18:42Z</dcterms:modified>
  <cp:category/>
  <cp:version/>
  <cp:contentType/>
  <cp:contentStatus/>
</cp:coreProperties>
</file>