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Titles" localSheetId="0">'Hoja1'!$1:$19</definedName>
  </definedNames>
  <calcPr fullCalcOnLoad="1"/>
</workbook>
</file>

<file path=xl/sharedStrings.xml><?xml version="1.0" encoding="utf-8"?>
<sst xmlns="http://schemas.openxmlformats.org/spreadsheetml/2006/main" count="157" uniqueCount="117">
  <si>
    <t>IV. Insumos      :</t>
  </si>
  <si>
    <t>II.Preparación de terreno:</t>
  </si>
  <si>
    <t>III. Mano de Obra:</t>
  </si>
  <si>
    <t>I. Semillero             :</t>
  </si>
  <si>
    <t>TOTAL</t>
  </si>
  <si>
    <t>GASTO SEGURO AGRICOLA</t>
  </si>
  <si>
    <t>GASTOS ADMINISTRATIVOS</t>
  </si>
  <si>
    <t>SUBTOTAL</t>
  </si>
  <si>
    <t>Hom-Día</t>
  </si>
  <si>
    <t>IV</t>
  </si>
  <si>
    <t>13. Cosecha</t>
  </si>
  <si>
    <t>12. Desyerbo (Manual)</t>
  </si>
  <si>
    <t xml:space="preserve">     Urea)</t>
  </si>
  <si>
    <t xml:space="preserve">    (0.5000 QQ 15-15-15 + 0.0761 QQ </t>
  </si>
  <si>
    <t xml:space="preserve">11. Aplicación Fertilizantes </t>
  </si>
  <si>
    <t xml:space="preserve">    0.1695 Kg Dithane M-45)</t>
  </si>
  <si>
    <t>10. Aplicación Pesticida (2 aplic)</t>
  </si>
  <si>
    <t>III</t>
  </si>
  <si>
    <t>9.  Riego (4 Aplic.)</t>
  </si>
  <si>
    <t>8.  Desyerbo (Manual)</t>
  </si>
  <si>
    <t>7.  Aplicación Pesticidas (2 aplic)</t>
  </si>
  <si>
    <t xml:space="preserve">    (0.5000 QQ 15-15-15 + 0.0761 QQ</t>
  </si>
  <si>
    <t>6.  Aplicación Fertilizantes</t>
  </si>
  <si>
    <t>5.  Riego (4 Aplic.)</t>
  </si>
  <si>
    <t>II</t>
  </si>
  <si>
    <t>4.  Siembra (Trasplante)</t>
  </si>
  <si>
    <t>Tarea</t>
  </si>
  <si>
    <t xml:space="preserve">   .4 Surqueo (Animal)</t>
  </si>
  <si>
    <t xml:space="preserve">   .3 Rastra (Animal)</t>
  </si>
  <si>
    <t xml:space="preserve">   .2 Cruce (Mecanizado)</t>
  </si>
  <si>
    <t xml:space="preserve">   .1 Corte (Mecanizado)</t>
  </si>
  <si>
    <t>3.  Preparación del Terreno</t>
  </si>
  <si>
    <t xml:space="preserve">   .8 Desyerbo (manual)</t>
  </si>
  <si>
    <t xml:space="preserve">   .7 Aplicación Pesticidas</t>
  </si>
  <si>
    <t xml:space="preserve">    (0.1959 QQ 15-15-15)</t>
  </si>
  <si>
    <t xml:space="preserve">   .6 Aplicación Fertilizante </t>
  </si>
  <si>
    <t xml:space="preserve">   .5 Riego (15 Aplic.)</t>
  </si>
  <si>
    <t>I</t>
  </si>
  <si>
    <t xml:space="preserve">   .4 Regada de Semillas</t>
  </si>
  <si>
    <t>2.  Preparación del Semillero</t>
  </si>
  <si>
    <t xml:space="preserve">   .11 Pago Agua INDRHI (4 Meses)</t>
  </si>
  <si>
    <t xml:space="preserve">   .10 Transporte de Insumos</t>
  </si>
  <si>
    <t>Libra</t>
  </si>
  <si>
    <t xml:space="preserve">   .9  Insecticida (Lannate)</t>
  </si>
  <si>
    <t>Kilo</t>
  </si>
  <si>
    <t>Litro</t>
  </si>
  <si>
    <t xml:space="preserve">   .7  Insecticida (Tamarón)</t>
  </si>
  <si>
    <t xml:space="preserve">   .6  Insecticida (Selecrón)</t>
  </si>
  <si>
    <t xml:space="preserve">   .4  Fungicida (Dithane M-45)</t>
  </si>
  <si>
    <t>Quintal</t>
  </si>
  <si>
    <t xml:space="preserve">   .2  Fertilizante (15-15-15)</t>
  </si>
  <si>
    <t xml:space="preserve">   .1  Semilla</t>
  </si>
  <si>
    <t>1.   Insumos</t>
  </si>
  <si>
    <t xml:space="preserve">  (RD$)</t>
  </si>
  <si>
    <t>/Unidad</t>
  </si>
  <si>
    <t xml:space="preserve"> Unidad</t>
  </si>
  <si>
    <t xml:space="preserve"> Mes</t>
  </si>
  <si>
    <t xml:space="preserve"> Actividad - Servicios o Insumos</t>
  </si>
  <si>
    <t xml:space="preserve">  Costo</t>
  </si>
  <si>
    <t xml:space="preserve"> Valor</t>
  </si>
  <si>
    <t>COSTOS VARIABLES DE PRODUCCION POR TAREA</t>
  </si>
  <si>
    <t xml:space="preserve"> CARAC. ESPECIAL</t>
  </si>
  <si>
    <t>JORNAL DIARIO :</t>
  </si>
  <si>
    <t>A</t>
  </si>
  <si>
    <t xml:space="preserve"> CLASIF. TERRENO</t>
  </si>
  <si>
    <t>FECHA     :</t>
  </si>
  <si>
    <t>8 Horas</t>
  </si>
  <si>
    <t>HOMBRE-DIA</t>
  </si>
  <si>
    <t>Semi-Mec.</t>
  </si>
  <si>
    <t xml:space="preserve"> PREP. TERRENO..</t>
  </si>
  <si>
    <t>Alto</t>
  </si>
  <si>
    <t xml:space="preserve"> NIVEL INSUMOS...</t>
  </si>
  <si>
    <t>Riego-Grav.</t>
  </si>
  <si>
    <t xml:space="preserve"> ORIGEN DE AGUAS</t>
  </si>
  <si>
    <t>Trasplante</t>
  </si>
  <si>
    <t xml:space="preserve"> METODO SIEMBRA.</t>
  </si>
  <si>
    <t>RENDIMIENTO</t>
  </si>
  <si>
    <t>VARIEDAD</t>
  </si>
  <si>
    <t>0-52-1233A</t>
  </si>
  <si>
    <t xml:space="preserve"> COSTO CODIGO...</t>
  </si>
  <si>
    <t>ENTREVISTAS...</t>
  </si>
  <si>
    <t xml:space="preserve"> CICLO..........</t>
  </si>
  <si>
    <t>Nacional</t>
  </si>
  <si>
    <t>AREA APLIC....</t>
  </si>
  <si>
    <t>Repollo</t>
  </si>
  <si>
    <t xml:space="preserve"> RUBRO..........</t>
  </si>
  <si>
    <t>REGIONAL......</t>
  </si>
  <si>
    <t>Unidad</t>
  </si>
  <si>
    <t>Costo/</t>
  </si>
  <si>
    <t>4 Meses</t>
  </si>
  <si>
    <t>Cant.</t>
  </si>
  <si>
    <t>Coeficiente Técnico por Actividad</t>
  </si>
  <si>
    <t>Participación (%) por Actividad</t>
  </si>
  <si>
    <t>.............................................</t>
  </si>
  <si>
    <t xml:space="preserve">   .3  Fertilizante (Sulfato)</t>
  </si>
  <si>
    <t xml:space="preserve">   .5  Fungicida (Antracol)</t>
  </si>
  <si>
    <t>Millar</t>
  </si>
  <si>
    <t>Isarco</t>
  </si>
  <si>
    <t xml:space="preserve">    (0.0342 Lt Tamarón + 0.0469 Lt</t>
  </si>
  <si>
    <t xml:space="preserve">     Antracol)</t>
  </si>
  <si>
    <t xml:space="preserve">    (0.1284 Lb Lannate + 0.0469 Lt.</t>
  </si>
  <si>
    <t xml:space="preserve">     Antracol + 0.0342 litro Tamarón)</t>
  </si>
  <si>
    <t xml:space="preserve">    Antracol + 0.6397 kilo Turicide +</t>
  </si>
  <si>
    <t xml:space="preserve">    (0.6620 Lt Selecrón + 0.0469 Lb </t>
  </si>
  <si>
    <t>MINISTERIO DE AGRICULTURA</t>
  </si>
  <si>
    <t>Las unidades de médida expresadas en los insumos corresponde a la forma en la que los productores  la obtienen de los puntos de venta o agroquímicas.</t>
  </si>
  <si>
    <t>Una Hectárea equivale a 15.9 tareas.</t>
  </si>
  <si>
    <t xml:space="preserve">Notas:  </t>
  </si>
  <si>
    <t>El uso de una "MARCA DE FABRICA" no constituye una recomendación del producto, sino lo que informaron los productores.</t>
  </si>
  <si>
    <t xml:space="preserve">   .8  Insecticida (Thuricide)</t>
  </si>
  <si>
    <t xml:space="preserve">               Estimados por la División de Estudios Económicos.-</t>
  </si>
  <si>
    <t>Fuente:  Ministerio de Agricultura, Departamento de Economía Agropecuaria.</t>
  </si>
  <si>
    <t>Página 118</t>
  </si>
  <si>
    <t>Página 119</t>
  </si>
  <si>
    <t>Página 120</t>
  </si>
  <si>
    <t>PAGO INTERESES  8.0% ANUAL (4 meses 2.66%)</t>
  </si>
  <si>
    <t>Los coeficientes utilizados en la estimación de los costos de producción fueron, actualizados en el levantamiento de campo realizado en el 2008 con el apoyo del PATCA. A partir del 2009, se han actualizado anualmente el precio de los insumos (pesticidas, agua y combustible), mano de obra,  actividades de preparación de  terreno y tasa de interés.Precios de los insumos actualizados a mayo, 2019.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</si>
</sst>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_)"/>
    <numFmt numFmtId="187" formatCode="0.0000_)"/>
    <numFmt numFmtId="188" formatCode="0.00_)"/>
    <numFmt numFmtId="189" formatCode="#,##0.0000_);\(#,##0.0000\)"/>
    <numFmt numFmtId="190" formatCode="#,##0.0_);\(#,##0.0\)"/>
    <numFmt numFmtId="191" formatCode="_(* #,##0.000_);_(* \(#,##0.000\);_(* &quot;-&quot;??_);_(@_)"/>
    <numFmt numFmtId="192" formatCode="_(* #,##0.0000_);_(* \(#,##0.0000\);_(* &quot;-&quot;??_);_(@_)"/>
    <numFmt numFmtId="193" formatCode="_(* #,##0.0_);_(* \(#,##0.0\);_(* &quot;-&quot;??_);_(@_)"/>
    <numFmt numFmtId="194" formatCode="_(* #,##0_);_(* \(#,##0\);_(* &quot;-&quot;??_);_(@_)"/>
    <numFmt numFmtId="195" formatCode="&quot;RD$&quot;#,##0.00"/>
    <numFmt numFmtId="196" formatCode="#,##0.00_ ;\-#,##0.00\ "/>
    <numFmt numFmtId="197" formatCode="_-* #,##0.00_-;\-* #,##0.00_-;_-* &quot;-&quot;??_-;_-@_-"/>
    <numFmt numFmtId="198" formatCode="_-* #,##0_-;\-* #,##0_-;_-* &quot;-&quot;??_-;_-@_-"/>
    <numFmt numFmtId="199" formatCode="_-* #,##0.0_-;\-* #,##0.0_-;_-* &quot;-&quot;??_-;_-@_-"/>
  </numFmts>
  <fonts count="56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.5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sz val="10"/>
      <color indexed="10"/>
      <name val="Arial Narrow"/>
      <family val="2"/>
    </font>
    <font>
      <sz val="14"/>
      <color indexed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  <font>
      <sz val="14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F9B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33" borderId="0" xfId="0" applyFont="1" applyFill="1" applyAlignment="1">
      <alignment/>
    </xf>
    <xf numFmtId="7" fontId="2" fillId="33" borderId="0" xfId="0" applyNumberFormat="1" applyFont="1" applyFill="1" applyAlignment="1" applyProtection="1">
      <alignment/>
      <protection/>
    </xf>
    <xf numFmtId="10" fontId="2" fillId="33" borderId="0" xfId="0" applyNumberFormat="1" applyFont="1" applyFill="1" applyAlignment="1" applyProtection="1">
      <alignment/>
      <protection/>
    </xf>
    <xf numFmtId="186" fontId="2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>
      <alignment/>
    </xf>
    <xf numFmtId="0" fontId="1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186" fontId="3" fillId="33" borderId="0" xfId="0" applyNumberFormat="1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center"/>
      <protection/>
    </xf>
    <xf numFmtId="188" fontId="1" fillId="33" borderId="0" xfId="0" applyNumberFormat="1" applyFont="1" applyFill="1" applyAlignment="1" applyProtection="1">
      <alignment/>
      <protection/>
    </xf>
    <xf numFmtId="189" fontId="1" fillId="33" borderId="0" xfId="0" applyNumberFormat="1" applyFont="1" applyFill="1" applyAlignment="1" applyProtection="1">
      <alignment horizontal="left"/>
      <protection/>
    </xf>
    <xf numFmtId="39" fontId="1" fillId="33" borderId="0" xfId="0" applyNumberFormat="1" applyFont="1" applyFill="1" applyAlignment="1" applyProtection="1">
      <alignment horizontal="center"/>
      <protection/>
    </xf>
    <xf numFmtId="189" fontId="3" fillId="33" borderId="0" xfId="0" applyNumberFormat="1" applyFont="1" applyFill="1" applyAlignment="1" applyProtection="1">
      <alignment horizontal="center"/>
      <protection/>
    </xf>
    <xf numFmtId="43" fontId="1" fillId="33" borderId="0" xfId="47" applyFont="1" applyFill="1" applyAlignment="1" applyProtection="1">
      <alignment horizontal="center"/>
      <protection/>
    </xf>
    <xf numFmtId="189" fontId="1" fillId="33" borderId="0" xfId="0" applyNumberFormat="1" applyFont="1" applyFill="1" applyAlignment="1" applyProtection="1">
      <alignment/>
      <protection/>
    </xf>
    <xf numFmtId="39" fontId="1" fillId="33" borderId="0" xfId="0" applyNumberFormat="1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0" fontId="4" fillId="33" borderId="0" xfId="0" applyFont="1" applyFill="1" applyAlignment="1" applyProtection="1">
      <alignment horizontal="left"/>
      <protection/>
    </xf>
    <xf numFmtId="186" fontId="1" fillId="33" borderId="0" xfId="0" applyNumberFormat="1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center"/>
      <protection/>
    </xf>
    <xf numFmtId="0" fontId="7" fillId="33" borderId="0" xfId="0" applyFont="1" applyFill="1" applyAlignment="1" applyProtection="1">
      <alignment horizontal="center"/>
      <protection/>
    </xf>
    <xf numFmtId="195" fontId="1" fillId="33" borderId="0" xfId="0" applyNumberFormat="1" applyFont="1" applyFill="1" applyAlignment="1" applyProtection="1" quotePrefix="1">
      <alignment horizontal="left"/>
      <protection/>
    </xf>
    <xf numFmtId="0" fontId="1" fillId="33" borderId="0" xfId="0" applyFont="1" applyFill="1" applyBorder="1" applyAlignment="1" applyProtection="1">
      <alignment horizontal="fill"/>
      <protection/>
    </xf>
    <xf numFmtId="0" fontId="5" fillId="33" borderId="1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187" fontId="1" fillId="33" borderId="11" xfId="0" applyNumberFormat="1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39" fontId="1" fillId="33" borderId="11" xfId="0" applyNumberFormat="1" applyFont="1" applyFill="1" applyBorder="1" applyAlignment="1" applyProtection="1">
      <alignment vertical="center"/>
      <protection/>
    </xf>
    <xf numFmtId="9" fontId="1" fillId="33" borderId="12" xfId="54" applyFont="1" applyFill="1" applyBorder="1" applyAlignment="1">
      <alignment horizontal="center"/>
    </xf>
    <xf numFmtId="0" fontId="1" fillId="33" borderId="10" xfId="0" applyFont="1" applyFill="1" applyBorder="1" applyAlignment="1" applyProtection="1">
      <alignment horizontal="left" vertical="center"/>
      <protection/>
    </xf>
    <xf numFmtId="188" fontId="1" fillId="33" borderId="0" xfId="0" applyNumberFormat="1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43" fontId="1" fillId="33" borderId="11" xfId="47" applyFont="1" applyFill="1" applyBorder="1" applyAlignment="1" applyProtection="1">
      <alignment/>
      <protection/>
    </xf>
    <xf numFmtId="192" fontId="1" fillId="33" borderId="11" xfId="47" applyNumberFormat="1" applyFont="1" applyFill="1" applyBorder="1" applyAlignment="1">
      <alignment vertical="center"/>
    </xf>
    <xf numFmtId="7" fontId="1" fillId="33" borderId="0" xfId="0" applyNumberFormat="1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>
      <alignment vertical="center"/>
    </xf>
    <xf numFmtId="187" fontId="1" fillId="33" borderId="13" xfId="0" applyNumberFormat="1" applyFont="1" applyFill="1" applyBorder="1" applyAlignment="1" applyProtection="1">
      <alignment vertical="center"/>
      <protection/>
    </xf>
    <xf numFmtId="0" fontId="1" fillId="33" borderId="14" xfId="0" applyFont="1" applyFill="1" applyBorder="1" applyAlignment="1" applyProtection="1">
      <alignment horizontal="left" vertical="center"/>
      <protection/>
    </xf>
    <xf numFmtId="0" fontId="1" fillId="33" borderId="15" xfId="0" applyFont="1" applyFill="1" applyBorder="1" applyAlignment="1">
      <alignment vertical="center"/>
    </xf>
    <xf numFmtId="7" fontId="1" fillId="33" borderId="15" xfId="0" applyNumberFormat="1" applyFont="1" applyFill="1" applyBorder="1" applyAlignment="1" applyProtection="1">
      <alignment vertical="center"/>
      <protection/>
    </xf>
    <xf numFmtId="10" fontId="1" fillId="33" borderId="16" xfId="0" applyNumberFormat="1" applyFont="1" applyFill="1" applyBorder="1" applyAlignment="1" applyProtection="1">
      <alignment vertical="center"/>
      <protection/>
    </xf>
    <xf numFmtId="187" fontId="1" fillId="33" borderId="16" xfId="0" applyNumberFormat="1" applyFont="1" applyFill="1" applyBorder="1" applyAlignment="1" applyProtection="1">
      <alignment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39" fontId="1" fillId="33" borderId="16" xfId="0" applyNumberFormat="1" applyFont="1" applyFill="1" applyBorder="1" applyAlignment="1" applyProtection="1">
      <alignment vertical="center"/>
      <protection/>
    </xf>
    <xf numFmtId="43" fontId="1" fillId="33" borderId="16" xfId="47" applyFont="1" applyFill="1" applyBorder="1" applyAlignment="1" applyProtection="1">
      <alignment/>
      <protection/>
    </xf>
    <xf numFmtId="9" fontId="1" fillId="33" borderId="17" xfId="54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187" fontId="1" fillId="33" borderId="11" xfId="0" applyNumberFormat="1" applyFont="1" applyFill="1" applyBorder="1" applyAlignment="1" applyProtection="1">
      <alignment/>
      <protection/>
    </xf>
    <xf numFmtId="0" fontId="1" fillId="33" borderId="11" xfId="0" applyFont="1" applyFill="1" applyBorder="1" applyAlignment="1">
      <alignment horizontal="center"/>
    </xf>
    <xf numFmtId="39" fontId="1" fillId="33" borderId="11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left"/>
      <protection/>
    </xf>
    <xf numFmtId="7" fontId="1" fillId="33" borderId="0" xfId="0" applyNumberFormat="1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 horizontal="center"/>
      <protection/>
    </xf>
    <xf numFmtId="188" fontId="1" fillId="33" borderId="0" xfId="0" applyNumberFormat="1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 locked="0"/>
    </xf>
    <xf numFmtId="10" fontId="1" fillId="33" borderId="11" xfId="0" applyNumberFormat="1" applyFont="1" applyFill="1" applyBorder="1" applyAlignment="1" applyProtection="1">
      <alignment/>
      <protection/>
    </xf>
    <xf numFmtId="10" fontId="1" fillId="33" borderId="11" xfId="0" applyNumberFormat="1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fill"/>
      <protection/>
    </xf>
    <xf numFmtId="0" fontId="1" fillId="33" borderId="15" xfId="0" applyFont="1" applyFill="1" applyBorder="1" applyAlignment="1" applyProtection="1">
      <alignment horizontal="fill"/>
      <protection/>
    </xf>
    <xf numFmtId="0" fontId="1" fillId="33" borderId="16" xfId="0" applyFont="1" applyFill="1" applyBorder="1" applyAlignment="1" applyProtection="1">
      <alignment horizontal="fill"/>
      <protection/>
    </xf>
    <xf numFmtId="0" fontId="1" fillId="33" borderId="16" xfId="0" applyFont="1" applyFill="1" applyBorder="1" applyAlignment="1" applyProtection="1">
      <alignment horizontal="center"/>
      <protection/>
    </xf>
    <xf numFmtId="186" fontId="1" fillId="33" borderId="16" xfId="0" applyNumberFormat="1" applyFont="1" applyFill="1" applyBorder="1" applyAlignment="1" applyProtection="1">
      <alignment/>
      <protection/>
    </xf>
    <xf numFmtId="0" fontId="5" fillId="33" borderId="18" xfId="0" applyFont="1" applyFill="1" applyBorder="1" applyAlignment="1" applyProtection="1">
      <alignment horizontal="left"/>
      <protection/>
    </xf>
    <xf numFmtId="0" fontId="5" fillId="33" borderId="19" xfId="0" applyFont="1" applyFill="1" applyBorder="1" applyAlignment="1" applyProtection="1">
      <alignment horizontal="fill"/>
      <protection/>
    </xf>
    <xf numFmtId="188" fontId="5" fillId="33" borderId="19" xfId="0" applyNumberFormat="1" applyFont="1" applyFill="1" applyBorder="1" applyAlignment="1" applyProtection="1">
      <alignment horizontal="fill"/>
      <protection/>
    </xf>
    <xf numFmtId="0" fontId="5" fillId="33" borderId="19" xfId="0" applyFont="1" applyFill="1" applyBorder="1" applyAlignment="1">
      <alignment/>
    </xf>
    <xf numFmtId="39" fontId="5" fillId="33" borderId="20" xfId="0" applyNumberFormat="1" applyFont="1" applyFill="1" applyBorder="1" applyAlignment="1" applyProtection="1">
      <alignment/>
      <protection/>
    </xf>
    <xf numFmtId="39" fontId="1" fillId="33" borderId="0" xfId="0" applyNumberFormat="1" applyFont="1" applyFill="1" applyBorder="1" applyAlignment="1" applyProtection="1">
      <alignment/>
      <protection/>
    </xf>
    <xf numFmtId="188" fontId="1" fillId="33" borderId="12" xfId="0" applyNumberFormat="1" applyFont="1" applyFill="1" applyBorder="1" applyAlignment="1" applyProtection="1">
      <alignment/>
      <protection/>
    </xf>
    <xf numFmtId="39" fontId="1" fillId="33" borderId="12" xfId="0" applyNumberFormat="1" applyFont="1" applyFill="1" applyBorder="1" applyAlignment="1" applyProtection="1">
      <alignment/>
      <protection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187" fontId="1" fillId="33" borderId="21" xfId="0" applyNumberFormat="1" applyFont="1" applyFill="1" applyBorder="1" applyAlignment="1" applyProtection="1">
      <alignment/>
      <protection/>
    </xf>
    <xf numFmtId="0" fontId="1" fillId="33" borderId="21" xfId="0" applyFont="1" applyFill="1" applyBorder="1" applyAlignment="1">
      <alignment horizontal="center"/>
    </xf>
    <xf numFmtId="39" fontId="1" fillId="33" borderId="21" xfId="0" applyNumberFormat="1" applyFont="1" applyFill="1" applyBorder="1" applyAlignment="1" applyProtection="1">
      <alignment/>
      <protection/>
    </xf>
    <xf numFmtId="43" fontId="1" fillId="33" borderId="21" xfId="47" applyFont="1" applyFill="1" applyBorder="1" applyAlignment="1" applyProtection="1">
      <alignment/>
      <protection/>
    </xf>
    <xf numFmtId="9" fontId="1" fillId="33" borderId="20" xfId="54" applyFont="1" applyFill="1" applyBorder="1" applyAlignment="1">
      <alignment horizontal="center"/>
    </xf>
    <xf numFmtId="0" fontId="1" fillId="0" borderId="0" xfId="0" applyFont="1" applyFill="1" applyAlignment="1">
      <alignment/>
    </xf>
    <xf numFmtId="43" fontId="1" fillId="0" borderId="0" xfId="47" applyFont="1" applyFill="1" applyAlignment="1">
      <alignment/>
    </xf>
    <xf numFmtId="0" fontId="1" fillId="0" borderId="0" xfId="0" applyFont="1" applyFill="1" applyBorder="1" applyAlignment="1">
      <alignment/>
    </xf>
    <xf numFmtId="192" fontId="1" fillId="0" borderId="0" xfId="47" applyNumberFormat="1" applyFont="1" applyFill="1" applyAlignment="1">
      <alignment/>
    </xf>
    <xf numFmtId="196" fontId="1" fillId="0" borderId="0" xfId="0" applyNumberFormat="1" applyFont="1" applyFill="1" applyAlignment="1">
      <alignment/>
    </xf>
    <xf numFmtId="39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 applyProtection="1">
      <alignment horizontal="left"/>
      <protection/>
    </xf>
    <xf numFmtId="187" fontId="1" fillId="33" borderId="0" xfId="0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>
      <alignment horizontal="center"/>
    </xf>
    <xf numFmtId="43" fontId="1" fillId="33" borderId="0" xfId="47" applyFont="1" applyFill="1" applyAlignment="1" applyProtection="1">
      <alignment/>
      <protection/>
    </xf>
    <xf numFmtId="43" fontId="1" fillId="33" borderId="0" xfId="47" applyFont="1" applyFill="1" applyAlignment="1">
      <alignment/>
    </xf>
    <xf numFmtId="0" fontId="1" fillId="33" borderId="0" xfId="0" applyFont="1" applyFill="1" applyBorder="1" applyAlignment="1" applyProtection="1">
      <alignment horizontal="center"/>
      <protection/>
    </xf>
    <xf numFmtId="186" fontId="1" fillId="33" borderId="0" xfId="0" applyNumberFormat="1" applyFont="1" applyFill="1" applyAlignment="1" applyProtection="1">
      <alignment/>
      <protection/>
    </xf>
    <xf numFmtId="186" fontId="1" fillId="33" borderId="0" xfId="0" applyNumberFormat="1" applyFont="1" applyFill="1" applyBorder="1" applyAlignment="1" applyProtection="1">
      <alignment/>
      <protection/>
    </xf>
    <xf numFmtId="196" fontId="49" fillId="33" borderId="0" xfId="0" applyNumberFormat="1" applyFont="1" applyFill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186" fontId="5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fill"/>
      <protection/>
    </xf>
    <xf numFmtId="39" fontId="6" fillId="33" borderId="0" xfId="0" applyNumberFormat="1" applyFont="1" applyFill="1" applyBorder="1" applyAlignment="1" applyProtection="1">
      <alignment/>
      <protection/>
    </xf>
    <xf numFmtId="196" fontId="51" fillId="33" borderId="0" xfId="0" applyNumberFormat="1" applyFont="1" applyFill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43" fontId="49" fillId="0" borderId="0" xfId="47" applyFont="1" applyFill="1" applyAlignment="1">
      <alignment/>
    </xf>
    <xf numFmtId="0" fontId="49" fillId="0" borderId="0" xfId="0" applyFont="1" applyFill="1" applyAlignment="1">
      <alignment/>
    </xf>
    <xf numFmtId="186" fontId="1" fillId="33" borderId="21" xfId="0" applyNumberFormat="1" applyFont="1" applyFill="1" applyBorder="1" applyAlignment="1" applyProtection="1">
      <alignment/>
      <protection/>
    </xf>
    <xf numFmtId="0" fontId="1" fillId="34" borderId="0" xfId="0" applyFont="1" applyFill="1" applyAlignment="1">
      <alignment/>
    </xf>
    <xf numFmtId="0" fontId="1" fillId="34" borderId="0" xfId="0" applyFont="1" applyFill="1" applyAlignment="1" applyProtection="1">
      <alignment horizontal="left"/>
      <protection/>
    </xf>
    <xf numFmtId="0" fontId="5" fillId="34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22" xfId="0" applyFont="1" applyFill="1" applyBorder="1" applyAlignment="1">
      <alignment horizontal="center"/>
    </xf>
    <xf numFmtId="0" fontId="5" fillId="34" borderId="22" xfId="0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 horizontal="left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1" fillId="34" borderId="14" xfId="0" applyFont="1" applyFill="1" applyBorder="1" applyAlignment="1" applyProtection="1">
      <alignment horizontal="fill"/>
      <protection/>
    </xf>
    <xf numFmtId="0" fontId="1" fillId="34" borderId="15" xfId="0" applyFont="1" applyFill="1" applyBorder="1" applyAlignment="1" applyProtection="1">
      <alignment horizontal="fill"/>
      <protection/>
    </xf>
    <xf numFmtId="0" fontId="1" fillId="34" borderId="16" xfId="0" applyFont="1" applyFill="1" applyBorder="1" applyAlignment="1" applyProtection="1">
      <alignment horizontal="fill"/>
      <protection/>
    </xf>
    <xf numFmtId="0" fontId="5" fillId="34" borderId="14" xfId="0" applyFont="1" applyFill="1" applyBorder="1" applyAlignment="1" applyProtection="1">
      <alignment horizontal="left"/>
      <protection/>
    </xf>
    <xf numFmtId="0" fontId="5" fillId="34" borderId="15" xfId="0" applyFont="1" applyFill="1" applyBorder="1" applyAlignment="1" applyProtection="1">
      <alignment horizontal="fill"/>
      <protection/>
    </xf>
    <xf numFmtId="0" fontId="5" fillId="34" borderId="15" xfId="0" applyFont="1" applyFill="1" applyBorder="1" applyAlignment="1">
      <alignment/>
    </xf>
    <xf numFmtId="39" fontId="5" fillId="34" borderId="17" xfId="0" applyNumberFormat="1" applyFont="1" applyFill="1" applyBorder="1" applyAlignment="1" applyProtection="1">
      <alignment/>
      <protection/>
    </xf>
    <xf numFmtId="0" fontId="1" fillId="34" borderId="18" xfId="0" applyFont="1" applyFill="1" applyBorder="1" applyAlignment="1" applyProtection="1">
      <alignment horizontal="left"/>
      <protection/>
    </xf>
    <xf numFmtId="0" fontId="1" fillId="34" borderId="23" xfId="0" applyFont="1" applyFill="1" applyBorder="1" applyAlignment="1">
      <alignment/>
    </xf>
    <xf numFmtId="7" fontId="1" fillId="34" borderId="19" xfId="0" applyNumberFormat="1" applyFont="1" applyFill="1" applyBorder="1" applyAlignment="1" applyProtection="1">
      <alignment/>
      <protection/>
    </xf>
    <xf numFmtId="10" fontId="1" fillId="34" borderId="21" xfId="0" applyNumberFormat="1" applyFont="1" applyFill="1" applyBorder="1" applyAlignment="1" applyProtection="1">
      <alignment/>
      <protection/>
    </xf>
    <xf numFmtId="0" fontId="1" fillId="34" borderId="24" xfId="0" applyFont="1" applyFill="1" applyBorder="1" applyAlignment="1" applyProtection="1">
      <alignment horizontal="left"/>
      <protection/>
    </xf>
    <xf numFmtId="0" fontId="1" fillId="34" borderId="19" xfId="0" applyFont="1" applyFill="1" applyBorder="1" applyAlignment="1">
      <alignment/>
    </xf>
    <xf numFmtId="7" fontId="1" fillId="34" borderId="24" xfId="0" applyNumberFormat="1" applyFont="1" applyFill="1" applyBorder="1" applyAlignment="1" applyProtection="1">
      <alignment/>
      <protection/>
    </xf>
    <xf numFmtId="10" fontId="1" fillId="34" borderId="25" xfId="0" applyNumberFormat="1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 horizontal="left"/>
      <protection/>
    </xf>
    <xf numFmtId="0" fontId="1" fillId="34" borderId="13" xfId="0" applyFont="1" applyFill="1" applyBorder="1" applyAlignment="1">
      <alignment/>
    </xf>
    <xf numFmtId="7" fontId="1" fillId="34" borderId="0" xfId="0" applyNumberFormat="1" applyFont="1" applyFill="1" applyBorder="1" applyAlignment="1" applyProtection="1">
      <alignment/>
      <protection/>
    </xf>
    <xf numFmtId="10" fontId="1" fillId="34" borderId="11" xfId="0" applyNumberFormat="1" applyFont="1" applyFill="1" applyBorder="1" applyAlignment="1" applyProtection="1">
      <alignment/>
      <protection/>
    </xf>
    <xf numFmtId="0" fontId="1" fillId="34" borderId="26" xfId="0" applyFont="1" applyFill="1" applyBorder="1" applyAlignment="1" applyProtection="1">
      <alignment horizontal="left"/>
      <protection/>
    </xf>
    <xf numFmtId="0" fontId="1" fillId="34" borderId="0" xfId="0" applyFont="1" applyFill="1" applyBorder="1" applyAlignment="1">
      <alignment/>
    </xf>
    <xf numFmtId="7" fontId="1" fillId="34" borderId="26" xfId="0" applyNumberFormat="1" applyFont="1" applyFill="1" applyBorder="1" applyAlignment="1" applyProtection="1">
      <alignment/>
      <protection/>
    </xf>
    <xf numFmtId="10" fontId="1" fillId="34" borderId="27" xfId="0" applyNumberFormat="1" applyFont="1" applyFill="1" applyBorder="1" applyAlignment="1" applyProtection="1">
      <alignment/>
      <protection/>
    </xf>
    <xf numFmtId="0" fontId="1" fillId="34" borderId="28" xfId="0" applyFont="1" applyFill="1" applyBorder="1" applyAlignment="1" applyProtection="1">
      <alignment horizontal="fill"/>
      <protection/>
    </xf>
    <xf numFmtId="0" fontId="1" fillId="34" borderId="29" xfId="0" applyFont="1" applyFill="1" applyBorder="1" applyAlignment="1" applyProtection="1">
      <alignment horizontal="fill"/>
      <protection/>
    </xf>
    <xf numFmtId="0" fontId="1" fillId="34" borderId="30" xfId="0" applyFont="1" applyFill="1" applyBorder="1" applyAlignment="1" applyProtection="1">
      <alignment horizontal="fill"/>
      <protection/>
    </xf>
    <xf numFmtId="0" fontId="52" fillId="0" borderId="0" xfId="0" applyFont="1" applyFill="1" applyAlignment="1">
      <alignment/>
    </xf>
    <xf numFmtId="0" fontId="51" fillId="33" borderId="0" xfId="0" applyFont="1" applyFill="1" applyBorder="1" applyAlignment="1">
      <alignment vertical="center"/>
    </xf>
    <xf numFmtId="0" fontId="53" fillId="0" borderId="0" xfId="0" applyFont="1" applyFill="1" applyAlignment="1">
      <alignment/>
    </xf>
    <xf numFmtId="43" fontId="53" fillId="0" borderId="0" xfId="47" applyFont="1" applyFill="1" applyAlignment="1">
      <alignment/>
    </xf>
    <xf numFmtId="0" fontId="5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34" borderId="24" xfId="0" applyFont="1" applyFill="1" applyBorder="1" applyAlignment="1">
      <alignment horizontal="center" vertical="justify"/>
    </xf>
    <xf numFmtId="0" fontId="1" fillId="34" borderId="26" xfId="0" applyFont="1" applyFill="1" applyBorder="1" applyAlignment="1">
      <alignment horizontal="center" vertical="justify"/>
    </xf>
    <xf numFmtId="0" fontId="1" fillId="34" borderId="29" xfId="0" applyFont="1" applyFill="1" applyBorder="1" applyAlignment="1">
      <alignment horizontal="center" vertical="justify"/>
    </xf>
    <xf numFmtId="0" fontId="1" fillId="34" borderId="25" xfId="0" applyFont="1" applyFill="1" applyBorder="1" applyAlignment="1">
      <alignment horizontal="center" vertical="justify"/>
    </xf>
    <xf numFmtId="0" fontId="1" fillId="34" borderId="27" xfId="0" applyFont="1" applyFill="1" applyBorder="1" applyAlignment="1">
      <alignment horizontal="center" vertical="justify"/>
    </xf>
    <xf numFmtId="0" fontId="1" fillId="34" borderId="30" xfId="0" applyFont="1" applyFill="1" applyBorder="1" applyAlignment="1">
      <alignment horizontal="center" vertical="justify"/>
    </xf>
    <xf numFmtId="0" fontId="8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5" fillId="34" borderId="18" xfId="0" applyFont="1" applyFill="1" applyBorder="1" applyAlignment="1" applyProtection="1">
      <alignment horizontal="center"/>
      <protection/>
    </xf>
    <xf numFmtId="0" fontId="5" fillId="34" borderId="19" xfId="0" applyFont="1" applyFill="1" applyBorder="1" applyAlignment="1" applyProtection="1">
      <alignment horizontal="center"/>
      <protection/>
    </xf>
    <xf numFmtId="0" fontId="5" fillId="34" borderId="23" xfId="0" applyFont="1" applyFill="1" applyBorder="1" applyAlignment="1" applyProtection="1">
      <alignment horizontal="center"/>
      <protection/>
    </xf>
    <xf numFmtId="0" fontId="5" fillId="34" borderId="31" xfId="0" applyFont="1" applyFill="1" applyBorder="1" applyAlignment="1" applyProtection="1">
      <alignment horizontal="center"/>
      <protection/>
    </xf>
    <xf numFmtId="0" fontId="5" fillId="34" borderId="32" xfId="0" applyFont="1" applyFill="1" applyBorder="1" applyAlignment="1" applyProtection="1">
      <alignment horizontal="center"/>
      <protection/>
    </xf>
    <xf numFmtId="0" fontId="5" fillId="34" borderId="33" xfId="0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 wrapText="1"/>
      <protection/>
    </xf>
    <xf numFmtId="0" fontId="2" fillId="33" borderId="0" xfId="0" applyFont="1" applyFill="1" applyAlignment="1">
      <alignment horizontal="left" wrapText="1"/>
    </xf>
    <xf numFmtId="186" fontId="54" fillId="33" borderId="0" xfId="0" applyNumberFormat="1" applyFont="1" applyFill="1" applyAlignment="1" applyProtection="1">
      <alignment/>
      <protection/>
    </xf>
    <xf numFmtId="196" fontId="55" fillId="33" borderId="0" xfId="0" applyNumberFormat="1" applyFont="1" applyFill="1" applyAlignment="1">
      <alignment/>
    </xf>
    <xf numFmtId="0" fontId="55" fillId="33" borderId="0" xfId="0" applyFont="1" applyFill="1" applyAlignment="1">
      <alignment/>
    </xf>
    <xf numFmtId="0" fontId="54" fillId="33" borderId="0" xfId="0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tabSelected="1" zoomScalePageLayoutView="0" workbookViewId="0" topLeftCell="A76">
      <selection activeCell="I88" sqref="I88"/>
    </sheetView>
  </sheetViews>
  <sheetFormatPr defaultColWidth="11.140625" defaultRowHeight="12.75"/>
  <cols>
    <col min="1" max="1" width="14.57421875" style="1" customWidth="1"/>
    <col min="2" max="2" width="9.7109375" style="1" customWidth="1"/>
    <col min="3" max="3" width="8.421875" style="1" customWidth="1"/>
    <col min="4" max="4" width="10.8515625" style="1" customWidth="1"/>
    <col min="5" max="5" width="7.57421875" style="1" customWidth="1"/>
    <col min="6" max="6" width="7.421875" style="1" customWidth="1"/>
    <col min="7" max="7" width="10.28125" style="1" customWidth="1"/>
    <col min="8" max="8" width="9.57421875" style="1" customWidth="1"/>
    <col min="9" max="9" width="11.140625" style="1" customWidth="1"/>
    <col min="10" max="10" width="10.8515625" style="1" customWidth="1"/>
    <col min="11" max="12" width="11.140625" style="89" customWidth="1"/>
    <col min="13" max="13" width="12.00390625" style="1" bestFit="1" customWidth="1"/>
    <col min="14" max="27" width="11.140625" style="1" customWidth="1"/>
    <col min="28" max="28" width="12.28125" style="1" customWidth="1"/>
    <col min="29" max="16384" width="11.140625" style="1" customWidth="1"/>
  </cols>
  <sheetData>
    <row r="1" spans="1:10" ht="27" customHeight="1">
      <c r="A1" s="166" t="s">
        <v>104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3" customHeight="1">
      <c r="A2" s="120"/>
      <c r="B2" s="121"/>
      <c r="C2" s="120"/>
      <c r="D2" s="120"/>
      <c r="E2" s="120"/>
      <c r="F2" s="120"/>
      <c r="G2" s="120"/>
      <c r="H2" s="120"/>
      <c r="I2" s="120"/>
      <c r="J2" s="120"/>
    </row>
    <row r="3" spans="1:10" ht="12.7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.75">
      <c r="A4" s="12" t="s">
        <v>86</v>
      </c>
      <c r="B4" s="12" t="s">
        <v>82</v>
      </c>
      <c r="C4" s="11"/>
      <c r="D4" s="11"/>
      <c r="E4" s="11"/>
      <c r="F4" s="10" t="s">
        <v>85</v>
      </c>
      <c r="G4" s="6"/>
      <c r="H4" s="11" t="s">
        <v>93</v>
      </c>
      <c r="I4" s="11"/>
      <c r="J4" s="13" t="s">
        <v>84</v>
      </c>
    </row>
    <row r="5" spans="1:10" ht="13.5">
      <c r="A5" s="12" t="s">
        <v>83</v>
      </c>
      <c r="B5" s="12" t="s">
        <v>82</v>
      </c>
      <c r="C5" s="11"/>
      <c r="D5" s="11"/>
      <c r="E5" s="11"/>
      <c r="F5" s="10" t="s">
        <v>81</v>
      </c>
      <c r="G5" s="6"/>
      <c r="H5" s="11" t="s">
        <v>93</v>
      </c>
      <c r="I5" s="11"/>
      <c r="J5" s="14" t="s">
        <v>89</v>
      </c>
    </row>
    <row r="6" spans="1:10" ht="13.5">
      <c r="A6" s="12" t="s">
        <v>80</v>
      </c>
      <c r="B6" s="12"/>
      <c r="C6" s="11"/>
      <c r="D6" s="11"/>
      <c r="E6" s="11"/>
      <c r="F6" s="10" t="s">
        <v>79</v>
      </c>
      <c r="G6" s="6"/>
      <c r="H6" s="11" t="s">
        <v>93</v>
      </c>
      <c r="I6" s="11"/>
      <c r="J6" s="15" t="s">
        <v>78</v>
      </c>
    </row>
    <row r="7" spans="1:10" ht="13.5">
      <c r="A7" s="11"/>
      <c r="B7" s="11"/>
      <c r="C7" s="11"/>
      <c r="D7" s="16" t="s">
        <v>88</v>
      </c>
      <c r="E7" s="11"/>
      <c r="F7" s="10"/>
      <c r="G7" s="6"/>
      <c r="H7" s="11" t="s">
        <v>93</v>
      </c>
      <c r="I7" s="11"/>
      <c r="J7" s="15"/>
    </row>
    <row r="8" spans="1:12" ht="13.5">
      <c r="A8" s="15" t="s">
        <v>77</v>
      </c>
      <c r="B8" s="15" t="s">
        <v>76</v>
      </c>
      <c r="C8" s="16" t="s">
        <v>87</v>
      </c>
      <c r="D8" s="16" t="s">
        <v>87</v>
      </c>
      <c r="E8" s="11"/>
      <c r="F8" s="10" t="s">
        <v>75</v>
      </c>
      <c r="G8" s="6"/>
      <c r="H8" s="11" t="s">
        <v>93</v>
      </c>
      <c r="I8" s="11"/>
      <c r="J8" s="15" t="s">
        <v>74</v>
      </c>
      <c r="L8" s="90"/>
    </row>
    <row r="9" spans="1:10" ht="13.5">
      <c r="A9" s="11"/>
      <c r="B9" s="17"/>
      <c r="C9" s="11"/>
      <c r="D9" s="11"/>
      <c r="E9" s="11"/>
      <c r="F9" s="10" t="s">
        <v>73</v>
      </c>
      <c r="G9" s="6"/>
      <c r="H9" s="11" t="s">
        <v>93</v>
      </c>
      <c r="I9" s="11"/>
      <c r="J9" s="15" t="s">
        <v>72</v>
      </c>
    </row>
    <row r="10" spans="1:10" ht="13.5">
      <c r="A10" s="18" t="s">
        <v>97</v>
      </c>
      <c r="B10" s="19">
        <v>1.65</v>
      </c>
      <c r="C10" s="20" t="s">
        <v>96</v>
      </c>
      <c r="D10" s="21">
        <f>(H89/B10)</f>
        <v>4455.654220716658</v>
      </c>
      <c r="E10" s="11"/>
      <c r="F10" s="10" t="s">
        <v>71</v>
      </c>
      <c r="G10" s="6"/>
      <c r="H10" s="11" t="s">
        <v>93</v>
      </c>
      <c r="I10" s="11"/>
      <c r="J10" s="15" t="s">
        <v>70</v>
      </c>
    </row>
    <row r="11" spans="1:13" ht="13.5">
      <c r="A11" s="18"/>
      <c r="B11" s="12"/>
      <c r="C11" s="22"/>
      <c r="D11" s="23"/>
      <c r="E11" s="11"/>
      <c r="F11" s="10" t="s">
        <v>69</v>
      </c>
      <c r="G11" s="6"/>
      <c r="H11" s="11" t="s">
        <v>93</v>
      </c>
      <c r="I11" s="11"/>
      <c r="J11" s="15" t="s">
        <v>68</v>
      </c>
      <c r="M11" s="115"/>
    </row>
    <row r="12" spans="1:13" ht="15.75">
      <c r="A12" s="25" t="s">
        <v>67</v>
      </c>
      <c r="B12" s="26" t="s">
        <v>66</v>
      </c>
      <c r="C12" s="27" t="s">
        <v>65</v>
      </c>
      <c r="D12" s="28">
        <v>2019</v>
      </c>
      <c r="E12" s="11"/>
      <c r="F12" s="10" t="s">
        <v>64</v>
      </c>
      <c r="G12" s="6"/>
      <c r="H12" s="11" t="s">
        <v>93</v>
      </c>
      <c r="I12" s="11"/>
      <c r="J12" s="15" t="s">
        <v>63</v>
      </c>
      <c r="M12" s="115">
        <f>453.59/4</f>
        <v>113.3975</v>
      </c>
    </row>
    <row r="13" spans="1:13" ht="13.5">
      <c r="A13" s="25" t="s">
        <v>62</v>
      </c>
      <c r="B13" s="29">
        <v>500</v>
      </c>
      <c r="C13" s="11"/>
      <c r="D13" s="11"/>
      <c r="E13" s="11"/>
      <c r="F13" s="10" t="s">
        <v>61</v>
      </c>
      <c r="G13" s="6"/>
      <c r="H13" s="11" t="s">
        <v>93</v>
      </c>
      <c r="I13" s="11"/>
      <c r="J13" s="24"/>
      <c r="M13" s="115"/>
    </row>
    <row r="14" spans="1:13" ht="9.75" customHeight="1" thickBot="1">
      <c r="A14" s="30"/>
      <c r="B14" s="30"/>
      <c r="C14" s="30"/>
      <c r="D14" s="30"/>
      <c r="E14" s="30"/>
      <c r="F14" s="30"/>
      <c r="G14" s="30"/>
      <c r="H14" s="30"/>
      <c r="I14" s="11"/>
      <c r="J14" s="11"/>
      <c r="M14" s="115"/>
    </row>
    <row r="15" spans="1:13" ht="13.5" customHeight="1">
      <c r="A15" s="168" t="s">
        <v>60</v>
      </c>
      <c r="B15" s="169"/>
      <c r="C15" s="169"/>
      <c r="D15" s="169"/>
      <c r="E15" s="169"/>
      <c r="F15" s="169"/>
      <c r="G15" s="169"/>
      <c r="H15" s="170"/>
      <c r="I15" s="160" t="s">
        <v>91</v>
      </c>
      <c r="J15" s="163" t="s">
        <v>92</v>
      </c>
      <c r="M15" s="115"/>
    </row>
    <row r="16" spans="1:13" ht="4.5" customHeight="1">
      <c r="A16" s="171"/>
      <c r="B16" s="172"/>
      <c r="C16" s="172"/>
      <c r="D16" s="172"/>
      <c r="E16" s="172"/>
      <c r="F16" s="172"/>
      <c r="G16" s="172"/>
      <c r="H16" s="173"/>
      <c r="I16" s="161"/>
      <c r="J16" s="164"/>
      <c r="M16" s="115"/>
    </row>
    <row r="17" spans="1:13" ht="11.25" customHeight="1">
      <c r="A17" s="122"/>
      <c r="B17" s="123"/>
      <c r="C17" s="123"/>
      <c r="D17" s="124"/>
      <c r="E17" s="124"/>
      <c r="F17" s="124"/>
      <c r="G17" s="125" t="s">
        <v>59</v>
      </c>
      <c r="H17" s="125" t="s">
        <v>58</v>
      </c>
      <c r="I17" s="161"/>
      <c r="J17" s="164"/>
      <c r="M17" s="115"/>
    </row>
    <row r="18" spans="1:13" ht="12" customHeight="1">
      <c r="A18" s="126" t="s">
        <v>57</v>
      </c>
      <c r="B18" s="123"/>
      <c r="C18" s="123"/>
      <c r="D18" s="127" t="s">
        <v>56</v>
      </c>
      <c r="E18" s="127" t="s">
        <v>90</v>
      </c>
      <c r="F18" s="127" t="s">
        <v>55</v>
      </c>
      <c r="G18" s="127" t="s">
        <v>54</v>
      </c>
      <c r="H18" s="127" t="s">
        <v>53</v>
      </c>
      <c r="I18" s="161"/>
      <c r="J18" s="164"/>
      <c r="M18" s="115"/>
    </row>
    <row r="19" spans="1:13" s="3" customFormat="1" ht="3.75" customHeight="1" thickBot="1">
      <c r="A19" s="128"/>
      <c r="B19" s="129"/>
      <c r="C19" s="129"/>
      <c r="D19" s="130"/>
      <c r="E19" s="130"/>
      <c r="F19" s="130"/>
      <c r="G19" s="130"/>
      <c r="H19" s="130"/>
      <c r="I19" s="162"/>
      <c r="J19" s="165"/>
      <c r="K19" s="91"/>
      <c r="L19" s="91"/>
      <c r="M19" s="116"/>
    </row>
    <row r="20" spans="1:13" ht="18">
      <c r="A20" s="31" t="s">
        <v>52</v>
      </c>
      <c r="B20" s="32"/>
      <c r="C20" s="32"/>
      <c r="D20" s="33"/>
      <c r="E20" s="34"/>
      <c r="F20" s="35"/>
      <c r="G20" s="36"/>
      <c r="H20" s="36" t="str">
        <f aca="true" t="shared" si="0" ref="H20:H41">IF(E20*G20,+E20*G20,"        ")</f>
        <v>        </v>
      </c>
      <c r="I20" s="119"/>
      <c r="J20" s="37"/>
      <c r="K20" s="154"/>
      <c r="M20" s="117"/>
    </row>
    <row r="21" spans="1:17" ht="12.75">
      <c r="A21" s="38" t="s">
        <v>51</v>
      </c>
      <c r="B21" s="32"/>
      <c r="C21" s="32"/>
      <c r="D21" s="33"/>
      <c r="E21" s="34">
        <v>0.0244</v>
      </c>
      <c r="F21" s="40" t="s">
        <v>42</v>
      </c>
      <c r="G21" s="36">
        <v>7500</v>
      </c>
      <c r="H21" s="36">
        <f t="shared" si="0"/>
        <v>183</v>
      </c>
      <c r="I21" s="41">
        <f>E21/B$10</f>
        <v>0.014787878787878789</v>
      </c>
      <c r="J21" s="37">
        <f aca="true" t="shared" si="1" ref="J21:J31">H21/H$89</f>
        <v>0.02489176345718588</v>
      </c>
      <c r="K21" s="156"/>
      <c r="L21" s="157"/>
      <c r="M21" s="157"/>
      <c r="N21" s="158"/>
      <c r="O21" s="158"/>
      <c r="P21" s="158"/>
      <c r="Q21" s="158"/>
    </row>
    <row r="22" spans="1:13" ht="12.75">
      <c r="A22" s="38" t="s">
        <v>50</v>
      </c>
      <c r="B22" s="32"/>
      <c r="C22" s="32"/>
      <c r="D22" s="33"/>
      <c r="E22" s="34">
        <f>8.72/20.33</f>
        <v>0.4289227742252829</v>
      </c>
      <c r="F22" s="40" t="s">
        <v>49</v>
      </c>
      <c r="G22" s="36">
        <v>1181.625</v>
      </c>
      <c r="H22" s="36">
        <f t="shared" si="0"/>
        <v>506.8258730939499</v>
      </c>
      <c r="I22" s="41">
        <f aca="true" t="shared" si="2" ref="I22:I80">E22/B$10</f>
        <v>0.25995319650017146</v>
      </c>
      <c r="J22" s="37">
        <f t="shared" si="1"/>
        <v>0.06893874178708366</v>
      </c>
      <c r="L22" s="92"/>
      <c r="M22" s="117"/>
    </row>
    <row r="23" spans="1:13" ht="12.75">
      <c r="A23" s="38" t="s">
        <v>94</v>
      </c>
      <c r="B23" s="32"/>
      <c r="C23" s="32"/>
      <c r="D23" s="33"/>
      <c r="E23" s="34">
        <f>9.17/20</f>
        <v>0.4585</v>
      </c>
      <c r="F23" s="40" t="s">
        <v>49</v>
      </c>
      <c r="G23" s="36">
        <v>875.625</v>
      </c>
      <c r="H23" s="36">
        <f t="shared" si="0"/>
        <v>401.4740625</v>
      </c>
      <c r="I23" s="41">
        <f t="shared" si="2"/>
        <v>0.2778787878787879</v>
      </c>
      <c r="J23" s="37">
        <f t="shared" si="1"/>
        <v>0.054608728950521636</v>
      </c>
      <c r="M23" s="117">
        <f>2500*6600</f>
        <v>16500000</v>
      </c>
    </row>
    <row r="24" spans="1:17" ht="12.75">
      <c r="A24" s="38" t="s">
        <v>48</v>
      </c>
      <c r="B24" s="32"/>
      <c r="C24" s="32"/>
      <c r="D24" s="33"/>
      <c r="E24" s="34">
        <f>1/25</f>
        <v>0.04</v>
      </c>
      <c r="F24" s="40" t="s">
        <v>44</v>
      </c>
      <c r="G24" s="36">
        <v>336.6666666666667</v>
      </c>
      <c r="H24" s="36">
        <f t="shared" si="0"/>
        <v>13.466666666666669</v>
      </c>
      <c r="I24" s="41">
        <f t="shared" si="2"/>
        <v>0.024242424242424246</v>
      </c>
      <c r="J24" s="37">
        <f t="shared" si="1"/>
        <v>0.0018317436132428227</v>
      </c>
      <c r="K24" s="93"/>
      <c r="M24" s="118">
        <f>+M23/14500</f>
        <v>1137.9310344827586</v>
      </c>
      <c r="N24" s="89"/>
      <c r="O24" s="89"/>
      <c r="P24" s="89"/>
      <c r="Q24" s="89"/>
    </row>
    <row r="25" spans="1:17" ht="12.75">
      <c r="A25" s="38" t="s">
        <v>95</v>
      </c>
      <c r="B25" s="32"/>
      <c r="C25" s="32"/>
      <c r="D25" s="42"/>
      <c r="E25" s="34">
        <f>3.33/23.67</f>
        <v>0.14068441064638781</v>
      </c>
      <c r="F25" s="40" t="s">
        <v>44</v>
      </c>
      <c r="G25" s="36">
        <v>475.6666666666667</v>
      </c>
      <c r="H25" s="36">
        <f t="shared" si="0"/>
        <v>66.91888466413181</v>
      </c>
      <c r="I25" s="41">
        <f t="shared" si="2"/>
        <v>0.08526327917962899</v>
      </c>
      <c r="J25" s="37">
        <f t="shared" si="1"/>
        <v>0.009102344523924987</v>
      </c>
      <c r="K25" s="93"/>
      <c r="M25" s="118">
        <f>+(453.59*M24)/10</f>
        <v>51615.41379310344</v>
      </c>
      <c r="N25" s="89"/>
      <c r="O25" s="89"/>
      <c r="P25" s="89"/>
      <c r="Q25" s="89"/>
    </row>
    <row r="26" spans="1:17" ht="12.75">
      <c r="A26" s="38" t="s">
        <v>47</v>
      </c>
      <c r="B26" s="32"/>
      <c r="C26" s="32"/>
      <c r="D26" s="33"/>
      <c r="E26" s="34">
        <v>0.662</v>
      </c>
      <c r="F26" s="40" t="s">
        <v>45</v>
      </c>
      <c r="G26" s="36">
        <v>950</v>
      </c>
      <c r="H26" s="36">
        <f t="shared" si="0"/>
        <v>628.9</v>
      </c>
      <c r="I26" s="41">
        <f t="shared" si="2"/>
        <v>0.40121212121212124</v>
      </c>
      <c r="J26" s="37">
        <f t="shared" si="1"/>
        <v>0.08554333354220874</v>
      </c>
      <c r="M26" s="118"/>
      <c r="N26" s="89"/>
      <c r="O26" s="89"/>
      <c r="P26" s="89"/>
      <c r="Q26" s="89"/>
    </row>
    <row r="27" spans="1:17" ht="12.75">
      <c r="A27" s="38" t="s">
        <v>46</v>
      </c>
      <c r="B27" s="32"/>
      <c r="C27" s="43"/>
      <c r="D27" s="33"/>
      <c r="E27" s="34">
        <v>0.0342</v>
      </c>
      <c r="F27" s="40" t="s">
        <v>45</v>
      </c>
      <c r="G27" s="36">
        <v>1555</v>
      </c>
      <c r="H27" s="36">
        <f t="shared" si="0"/>
        <v>53.181000000000004</v>
      </c>
      <c r="I27" s="41">
        <f t="shared" si="2"/>
        <v>0.02072727272727273</v>
      </c>
      <c r="J27" s="37">
        <f t="shared" si="1"/>
        <v>0.007233709685336625</v>
      </c>
      <c r="M27" s="118"/>
      <c r="N27" s="89"/>
      <c r="O27" s="89"/>
      <c r="P27" s="89"/>
      <c r="Q27" s="89"/>
    </row>
    <row r="28" spans="1:17" ht="12.75">
      <c r="A28" s="38" t="s">
        <v>109</v>
      </c>
      <c r="B28" s="32"/>
      <c r="C28" s="43"/>
      <c r="D28" s="33"/>
      <c r="E28" s="34">
        <v>0.6397</v>
      </c>
      <c r="F28" s="40" t="s">
        <v>44</v>
      </c>
      <c r="G28" s="36">
        <v>1050</v>
      </c>
      <c r="H28" s="36">
        <f t="shared" si="0"/>
        <v>671.6850000000001</v>
      </c>
      <c r="I28" s="41">
        <f t="shared" si="2"/>
        <v>0.38769696969696976</v>
      </c>
      <c r="J28" s="37">
        <f t="shared" si="1"/>
        <v>0.09136297343027266</v>
      </c>
      <c r="K28" s="114"/>
      <c r="L28" s="11"/>
      <c r="M28" s="11"/>
      <c r="N28" s="11"/>
      <c r="O28" s="89"/>
      <c r="P28" s="89"/>
      <c r="Q28" s="89"/>
    </row>
    <row r="29" spans="1:17" ht="12.75">
      <c r="A29" s="38" t="s">
        <v>43</v>
      </c>
      <c r="B29" s="32"/>
      <c r="C29" s="32"/>
      <c r="D29" s="33"/>
      <c r="E29" s="34">
        <v>0.1284</v>
      </c>
      <c r="F29" s="40" t="s">
        <v>42</v>
      </c>
      <c r="G29" s="36">
        <v>420</v>
      </c>
      <c r="H29" s="36">
        <f t="shared" si="0"/>
        <v>53.928</v>
      </c>
      <c r="I29" s="41">
        <f t="shared" si="2"/>
        <v>0.07781818181818181</v>
      </c>
      <c r="J29" s="37">
        <f t="shared" si="1"/>
        <v>0.007335317047645465</v>
      </c>
      <c r="K29" s="11"/>
      <c r="L29" s="11"/>
      <c r="M29" s="11"/>
      <c r="N29" s="11"/>
      <c r="O29" s="89"/>
      <c r="P29" s="89"/>
      <c r="Q29" s="89"/>
    </row>
    <row r="30" spans="1:17" ht="12.75">
      <c r="A30" s="38" t="s">
        <v>41</v>
      </c>
      <c r="B30" s="32"/>
      <c r="C30" s="32"/>
      <c r="D30" s="33"/>
      <c r="E30" s="34">
        <v>1</v>
      </c>
      <c r="F30" s="40" t="s">
        <v>26</v>
      </c>
      <c r="G30" s="36">
        <v>150</v>
      </c>
      <c r="H30" s="36">
        <f t="shared" si="0"/>
        <v>150</v>
      </c>
      <c r="I30" s="41">
        <f t="shared" si="2"/>
        <v>0.6060606060606061</v>
      </c>
      <c r="J30" s="37">
        <f t="shared" si="1"/>
        <v>0.020403084800972034</v>
      </c>
      <c r="M30" s="89"/>
      <c r="N30" s="89"/>
      <c r="O30" s="89"/>
      <c r="P30" s="89"/>
      <c r="Q30" s="89"/>
    </row>
    <row r="31" spans="1:17" ht="12.75">
      <c r="A31" s="38" t="s">
        <v>40</v>
      </c>
      <c r="B31" s="155"/>
      <c r="C31" s="32"/>
      <c r="D31" s="33"/>
      <c r="E31" s="34">
        <v>1</v>
      </c>
      <c r="F31" s="40" t="s">
        <v>26</v>
      </c>
      <c r="G31" s="36">
        <f>+(80.49/12)*4</f>
        <v>26.83</v>
      </c>
      <c r="H31" s="36">
        <f t="shared" si="0"/>
        <v>26.83</v>
      </c>
      <c r="I31" s="41">
        <f t="shared" si="2"/>
        <v>0.6060606060606061</v>
      </c>
      <c r="J31" s="37">
        <f t="shared" si="1"/>
        <v>0.0036494317680671974</v>
      </c>
      <c r="M31" s="89"/>
      <c r="N31" s="89"/>
      <c r="O31" s="89"/>
      <c r="P31" s="89"/>
      <c r="Q31" s="89"/>
    </row>
    <row r="32" spans="1:17" ht="3.75" customHeight="1">
      <c r="A32" s="44"/>
      <c r="B32" s="32"/>
      <c r="C32" s="32"/>
      <c r="D32" s="33"/>
      <c r="E32" s="34"/>
      <c r="F32" s="35"/>
      <c r="G32" s="36"/>
      <c r="H32" s="36" t="str">
        <f t="shared" si="0"/>
        <v>        </v>
      </c>
      <c r="I32" s="41"/>
      <c r="J32" s="37"/>
      <c r="M32" s="89"/>
      <c r="N32" s="89"/>
      <c r="O32" s="89"/>
      <c r="P32" s="89"/>
      <c r="Q32" s="89"/>
    </row>
    <row r="33" spans="1:17" ht="12.75">
      <c r="A33" s="31" t="s">
        <v>39</v>
      </c>
      <c r="B33" s="32"/>
      <c r="C33" s="39"/>
      <c r="D33" s="33"/>
      <c r="E33" s="34"/>
      <c r="F33" s="35"/>
      <c r="G33" s="36"/>
      <c r="H33" s="36" t="str">
        <f t="shared" si="0"/>
        <v>        </v>
      </c>
      <c r="I33" s="41"/>
      <c r="J33" s="37"/>
      <c r="M33" s="89"/>
      <c r="N33" s="89"/>
      <c r="O33" s="89"/>
      <c r="P33" s="89"/>
      <c r="Q33" s="89"/>
    </row>
    <row r="34" spans="1:17" ht="12.75">
      <c r="A34" s="38" t="s">
        <v>30</v>
      </c>
      <c r="B34" s="32"/>
      <c r="C34" s="32"/>
      <c r="D34" s="33"/>
      <c r="E34" s="34">
        <v>0.0964</v>
      </c>
      <c r="F34" s="40" t="s">
        <v>26</v>
      </c>
      <c r="G34" s="36">
        <v>250</v>
      </c>
      <c r="H34" s="36">
        <f t="shared" si="0"/>
        <v>24.1</v>
      </c>
      <c r="I34" s="41">
        <f t="shared" si="2"/>
        <v>0.05842424242424243</v>
      </c>
      <c r="J34" s="37">
        <f>H34/H$89</f>
        <v>0.0032780956246895067</v>
      </c>
      <c r="K34" s="94"/>
      <c r="M34" s="89"/>
      <c r="N34" s="89"/>
      <c r="O34" s="89"/>
      <c r="P34" s="89"/>
      <c r="Q34" s="89"/>
    </row>
    <row r="35" spans="1:17" ht="12.75">
      <c r="A35" s="38" t="s">
        <v>29</v>
      </c>
      <c r="B35" s="32"/>
      <c r="C35" s="32"/>
      <c r="D35" s="33"/>
      <c r="E35" s="34">
        <v>0.0408</v>
      </c>
      <c r="F35" s="40" t="s">
        <v>26</v>
      </c>
      <c r="G35" s="36">
        <v>200</v>
      </c>
      <c r="H35" s="36">
        <f t="shared" si="0"/>
        <v>8.16</v>
      </c>
      <c r="I35" s="41">
        <f t="shared" si="2"/>
        <v>0.02472727272727273</v>
      </c>
      <c r="J35" s="37">
        <f>H35/H$89</f>
        <v>0.0011099278131728786</v>
      </c>
      <c r="M35" s="89"/>
      <c r="N35" s="89"/>
      <c r="O35" s="89"/>
      <c r="P35" s="89"/>
      <c r="Q35" s="89"/>
    </row>
    <row r="36" spans="1:17" ht="12.75">
      <c r="A36" s="38" t="s">
        <v>38</v>
      </c>
      <c r="B36" s="32"/>
      <c r="C36" s="32"/>
      <c r="D36" s="35" t="s">
        <v>37</v>
      </c>
      <c r="E36" s="45">
        <v>0.065</v>
      </c>
      <c r="F36" s="40" t="s">
        <v>8</v>
      </c>
      <c r="G36" s="36">
        <f>+$B$13</f>
        <v>500</v>
      </c>
      <c r="H36" s="36">
        <f t="shared" si="0"/>
        <v>32.5</v>
      </c>
      <c r="I36" s="41">
        <f t="shared" si="2"/>
        <v>0.0393939393939394</v>
      </c>
      <c r="J36" s="37">
        <f>H36/H$89</f>
        <v>0.0044206683735439406</v>
      </c>
      <c r="K36" s="93"/>
      <c r="M36" s="89"/>
      <c r="N36" s="89"/>
      <c r="O36" s="89"/>
      <c r="P36" s="89"/>
      <c r="Q36" s="89"/>
    </row>
    <row r="37" spans="1:13" ht="12.75">
      <c r="A37" s="38" t="s">
        <v>36</v>
      </c>
      <c r="B37" s="32"/>
      <c r="C37" s="32"/>
      <c r="D37" s="33"/>
      <c r="E37" s="34">
        <v>0.285</v>
      </c>
      <c r="F37" s="40" t="s">
        <v>8</v>
      </c>
      <c r="G37" s="36">
        <f>+$B$13</f>
        <v>500</v>
      </c>
      <c r="H37" s="36">
        <f t="shared" si="0"/>
        <v>142.5</v>
      </c>
      <c r="I37" s="41">
        <f t="shared" si="2"/>
        <v>0.17272727272727273</v>
      </c>
      <c r="J37" s="37">
        <f>H37/H$89</f>
        <v>0.01938293056092343</v>
      </c>
      <c r="M37" s="90"/>
    </row>
    <row r="38" spans="1:13" ht="12.75">
      <c r="A38" s="38" t="s">
        <v>35</v>
      </c>
      <c r="B38" s="32"/>
      <c r="C38" s="32"/>
      <c r="D38" s="33"/>
      <c r="E38" s="34"/>
      <c r="F38" s="35"/>
      <c r="G38" s="36"/>
      <c r="H38" s="36" t="str">
        <f t="shared" si="0"/>
        <v>        </v>
      </c>
      <c r="I38" s="41"/>
      <c r="J38" s="37"/>
      <c r="M38" s="90"/>
    </row>
    <row r="39" spans="1:13" ht="12.75">
      <c r="A39" s="38" t="s">
        <v>34</v>
      </c>
      <c r="B39" s="32"/>
      <c r="C39" s="32"/>
      <c r="D39" s="33"/>
      <c r="E39" s="34">
        <v>0.095</v>
      </c>
      <c r="F39" s="40" t="s">
        <v>8</v>
      </c>
      <c r="G39" s="36">
        <f>+$B$13</f>
        <v>500</v>
      </c>
      <c r="H39" s="36">
        <f t="shared" si="0"/>
        <v>47.5</v>
      </c>
      <c r="I39" s="41">
        <f t="shared" si="2"/>
        <v>0.05757575757575758</v>
      </c>
      <c r="J39" s="37">
        <f>H39/H$89</f>
        <v>0.006460976853641143</v>
      </c>
      <c r="M39" s="90"/>
    </row>
    <row r="40" spans="1:13" ht="12.75">
      <c r="A40" s="38" t="s">
        <v>33</v>
      </c>
      <c r="B40" s="32"/>
      <c r="C40" s="32"/>
      <c r="D40" s="33"/>
      <c r="E40" s="34"/>
      <c r="F40" s="35"/>
      <c r="G40" s="36"/>
      <c r="H40" s="36" t="str">
        <f t="shared" si="0"/>
        <v>        </v>
      </c>
      <c r="I40" s="41"/>
      <c r="J40" s="37"/>
      <c r="M40" s="90"/>
    </row>
    <row r="41" spans="1:10" ht="12.75">
      <c r="A41" s="38" t="s">
        <v>98</v>
      </c>
      <c r="B41" s="32"/>
      <c r="C41" s="32"/>
      <c r="D41" s="33"/>
      <c r="E41" s="34">
        <v>0.0733</v>
      </c>
      <c r="F41" s="40" t="s">
        <v>8</v>
      </c>
      <c r="G41" s="36">
        <f>+$B$13</f>
        <v>500</v>
      </c>
      <c r="H41" s="36">
        <f t="shared" si="0"/>
        <v>36.65</v>
      </c>
      <c r="I41" s="41">
        <f t="shared" si="2"/>
        <v>0.04442424242424243</v>
      </c>
      <c r="J41" s="37">
        <f>H41/H$89</f>
        <v>0.004985153719704166</v>
      </c>
    </row>
    <row r="42" spans="1:10" ht="12.75">
      <c r="A42" s="38" t="s">
        <v>99</v>
      </c>
      <c r="B42" s="32"/>
      <c r="C42" s="43"/>
      <c r="D42" s="33"/>
      <c r="E42" s="33"/>
      <c r="F42" s="35"/>
      <c r="G42" s="33"/>
      <c r="H42" s="33"/>
      <c r="I42" s="41"/>
      <c r="J42" s="37"/>
    </row>
    <row r="43" spans="1:10" ht="12.75">
      <c r="A43" s="38" t="s">
        <v>32</v>
      </c>
      <c r="B43" s="32"/>
      <c r="C43" s="32"/>
      <c r="D43" s="33"/>
      <c r="E43" s="34">
        <v>0.2317</v>
      </c>
      <c r="F43" s="40" t="s">
        <v>8</v>
      </c>
      <c r="G43" s="36">
        <f>+$B$13</f>
        <v>500</v>
      </c>
      <c r="H43" s="36">
        <f aca="true" t="shared" si="3" ref="H43:H50">IF(E43*G43,+E43*G43,"        ")</f>
        <v>115.85</v>
      </c>
      <c r="I43" s="41">
        <f t="shared" si="2"/>
        <v>0.14042424242424242</v>
      </c>
      <c r="J43" s="37">
        <f>H43/H$89</f>
        <v>0.0157579824946174</v>
      </c>
    </row>
    <row r="44" spans="1:10" ht="7.5" customHeight="1">
      <c r="A44" s="44"/>
      <c r="B44" s="32"/>
      <c r="C44" s="43"/>
      <c r="D44" s="33"/>
      <c r="E44" s="34"/>
      <c r="F44" s="35"/>
      <c r="G44" s="36"/>
      <c r="H44" s="36" t="str">
        <f t="shared" si="3"/>
        <v>        </v>
      </c>
      <c r="I44" s="41"/>
      <c r="J44" s="37"/>
    </row>
    <row r="45" spans="1:10" ht="12.75">
      <c r="A45" s="31" t="s">
        <v>31</v>
      </c>
      <c r="B45" s="32"/>
      <c r="C45" s="43"/>
      <c r="D45" s="33"/>
      <c r="E45" s="34"/>
      <c r="F45" s="35"/>
      <c r="G45" s="36"/>
      <c r="H45" s="36" t="str">
        <f t="shared" si="3"/>
        <v>        </v>
      </c>
      <c r="I45" s="41"/>
      <c r="J45" s="37"/>
    </row>
    <row r="46" spans="1:10" ht="12.75">
      <c r="A46" s="38" t="s">
        <v>30</v>
      </c>
      <c r="B46" s="32"/>
      <c r="C46" s="32"/>
      <c r="D46" s="33"/>
      <c r="E46" s="34">
        <v>1</v>
      </c>
      <c r="F46" s="40" t="s">
        <v>26</v>
      </c>
      <c r="G46" s="36">
        <v>250</v>
      </c>
      <c r="H46" s="36">
        <f t="shared" si="3"/>
        <v>250</v>
      </c>
      <c r="I46" s="41">
        <f t="shared" si="2"/>
        <v>0.6060606060606061</v>
      </c>
      <c r="J46" s="37">
        <f>H46/H$89</f>
        <v>0.03400514133495339</v>
      </c>
    </row>
    <row r="47" spans="1:11" ht="12.75">
      <c r="A47" s="38" t="s">
        <v>29</v>
      </c>
      <c r="B47" s="32"/>
      <c r="C47" s="32"/>
      <c r="D47" s="33"/>
      <c r="E47" s="34">
        <v>1</v>
      </c>
      <c r="F47" s="40" t="s">
        <v>26</v>
      </c>
      <c r="G47" s="36">
        <v>200</v>
      </c>
      <c r="H47" s="36">
        <f t="shared" si="3"/>
        <v>200</v>
      </c>
      <c r="I47" s="41">
        <f t="shared" si="2"/>
        <v>0.6060606060606061</v>
      </c>
      <c r="J47" s="37">
        <f>H47/H$89</f>
        <v>0.02720411306796271</v>
      </c>
      <c r="K47" s="93"/>
    </row>
    <row r="48" spans="1:11" ht="12.75">
      <c r="A48" s="38" t="s">
        <v>28</v>
      </c>
      <c r="B48" s="32"/>
      <c r="C48" s="43"/>
      <c r="D48" s="33"/>
      <c r="E48" s="34">
        <v>1</v>
      </c>
      <c r="F48" s="40" t="s">
        <v>26</v>
      </c>
      <c r="G48" s="36">
        <v>200</v>
      </c>
      <c r="H48" s="36">
        <f t="shared" si="3"/>
        <v>200</v>
      </c>
      <c r="I48" s="41">
        <f t="shared" si="2"/>
        <v>0.6060606060606061</v>
      </c>
      <c r="J48" s="37">
        <f>H48/H$89</f>
        <v>0.02720411306796271</v>
      </c>
      <c r="K48" s="93"/>
    </row>
    <row r="49" spans="1:10" ht="13.5" thickBot="1">
      <c r="A49" s="46" t="s">
        <v>27</v>
      </c>
      <c r="B49" s="47"/>
      <c r="C49" s="48"/>
      <c r="D49" s="49"/>
      <c r="E49" s="50">
        <v>1</v>
      </c>
      <c r="F49" s="51" t="s">
        <v>26</v>
      </c>
      <c r="G49" s="52">
        <v>220</v>
      </c>
      <c r="H49" s="52">
        <f t="shared" si="3"/>
        <v>220</v>
      </c>
      <c r="I49" s="53">
        <f t="shared" si="2"/>
        <v>0.6060606060606061</v>
      </c>
      <c r="J49" s="54">
        <f>H49/H$89</f>
        <v>0.029924524374758982</v>
      </c>
    </row>
    <row r="50" spans="1:10" ht="12.75">
      <c r="A50" s="56"/>
      <c r="B50" s="56"/>
      <c r="C50" s="56"/>
      <c r="D50" s="56"/>
      <c r="E50" s="99"/>
      <c r="F50" s="100"/>
      <c r="G50" s="78"/>
      <c r="H50" s="78" t="str">
        <f t="shared" si="3"/>
        <v>        </v>
      </c>
      <c r="I50" s="101"/>
      <c r="J50" s="102"/>
    </row>
    <row r="51" spans="1:12" s="3" customFormat="1" ht="23.25" customHeight="1" thickBot="1">
      <c r="A51" s="167" t="s">
        <v>112</v>
      </c>
      <c r="B51" s="167"/>
      <c r="C51" s="167"/>
      <c r="D51" s="167"/>
      <c r="E51" s="167"/>
      <c r="F51" s="167"/>
      <c r="G51" s="167"/>
      <c r="H51" s="167"/>
      <c r="I51" s="167"/>
      <c r="J51" s="167"/>
      <c r="K51" s="91"/>
      <c r="L51" s="91"/>
    </row>
    <row r="52" spans="1:10" ht="12.75">
      <c r="A52" s="81"/>
      <c r="B52" s="82"/>
      <c r="C52" s="82"/>
      <c r="D52" s="83"/>
      <c r="E52" s="84"/>
      <c r="F52" s="85"/>
      <c r="G52" s="86"/>
      <c r="H52" s="86"/>
      <c r="I52" s="87"/>
      <c r="J52" s="88"/>
    </row>
    <row r="53" spans="1:10" ht="12.75">
      <c r="A53" s="61" t="s">
        <v>25</v>
      </c>
      <c r="B53" s="56"/>
      <c r="C53" s="62"/>
      <c r="D53" s="63" t="s">
        <v>24</v>
      </c>
      <c r="E53" s="58">
        <v>0.7383</v>
      </c>
      <c r="F53" s="63" t="s">
        <v>8</v>
      </c>
      <c r="G53" s="60">
        <f>+$B$13</f>
        <v>500</v>
      </c>
      <c r="H53" s="60">
        <f aca="true" t="shared" si="4" ref="H53:H58">IF(E53*G53,+E53*G53,"        ")</f>
        <v>369.15</v>
      </c>
      <c r="I53" s="41">
        <f t="shared" si="2"/>
        <v>0.44745454545454544</v>
      </c>
      <c r="J53" s="37">
        <f>H53/H$89</f>
        <v>0.050211991695192165</v>
      </c>
    </row>
    <row r="54" spans="1:11" ht="12.75">
      <c r="A54" s="55"/>
      <c r="B54" s="56"/>
      <c r="C54" s="62"/>
      <c r="D54" s="57"/>
      <c r="E54" s="58"/>
      <c r="F54" s="59"/>
      <c r="G54" s="60"/>
      <c r="H54" s="60" t="str">
        <f t="shared" si="4"/>
        <v>        </v>
      </c>
      <c r="I54" s="41"/>
      <c r="J54" s="37"/>
      <c r="K54" s="93"/>
    </row>
    <row r="55" spans="1:10" ht="12.75">
      <c r="A55" s="61" t="s">
        <v>23</v>
      </c>
      <c r="B55" s="56"/>
      <c r="C55" s="56"/>
      <c r="D55" s="57"/>
      <c r="E55" s="58">
        <v>0.3983</v>
      </c>
      <c r="F55" s="63" t="s">
        <v>8</v>
      </c>
      <c r="G55" s="60">
        <f>+$B$13</f>
        <v>500</v>
      </c>
      <c r="H55" s="60">
        <f t="shared" si="4"/>
        <v>199.15</v>
      </c>
      <c r="I55" s="41">
        <f t="shared" si="2"/>
        <v>0.2413939393939394</v>
      </c>
      <c r="J55" s="37">
        <f>H55/H$89</f>
        <v>0.027088495587423867</v>
      </c>
    </row>
    <row r="56" spans="1:10" ht="12.75">
      <c r="A56" s="55"/>
      <c r="B56" s="56"/>
      <c r="C56" s="64"/>
      <c r="D56" s="65"/>
      <c r="E56" s="58"/>
      <c r="F56" s="59"/>
      <c r="G56" s="60"/>
      <c r="H56" s="60" t="str">
        <f t="shared" si="4"/>
        <v>        </v>
      </c>
      <c r="I56" s="41"/>
      <c r="J56" s="37"/>
    </row>
    <row r="57" spans="1:10" ht="12.75">
      <c r="A57" s="61" t="s">
        <v>22</v>
      </c>
      <c r="B57" s="56"/>
      <c r="C57" s="56"/>
      <c r="D57" s="57"/>
      <c r="E57" s="58"/>
      <c r="F57" s="59"/>
      <c r="G57" s="60"/>
      <c r="H57" s="60" t="str">
        <f t="shared" si="4"/>
        <v>        </v>
      </c>
      <c r="I57" s="41"/>
      <c r="J57" s="37"/>
    </row>
    <row r="58" spans="1:10" ht="12.75">
      <c r="A58" s="61" t="s">
        <v>21</v>
      </c>
      <c r="B58" s="56"/>
      <c r="C58" s="64"/>
      <c r="D58" s="57"/>
      <c r="E58" s="58">
        <v>0.3467</v>
      </c>
      <c r="F58" s="63" t="s">
        <v>8</v>
      </c>
      <c r="G58" s="60">
        <f>+$B$13</f>
        <v>500</v>
      </c>
      <c r="H58" s="60">
        <f t="shared" si="4"/>
        <v>173.35</v>
      </c>
      <c r="I58" s="41">
        <f t="shared" si="2"/>
        <v>0.21012121212121213</v>
      </c>
      <c r="J58" s="37">
        <f>H58/H$89</f>
        <v>0.023579165001656677</v>
      </c>
    </row>
    <row r="59" spans="1:10" ht="12.75">
      <c r="A59" s="61" t="s">
        <v>12</v>
      </c>
      <c r="B59" s="56"/>
      <c r="C59" s="56"/>
      <c r="D59" s="57"/>
      <c r="E59" s="57"/>
      <c r="F59" s="59"/>
      <c r="G59" s="57"/>
      <c r="H59" s="57"/>
      <c r="I59" s="41"/>
      <c r="J59" s="37"/>
    </row>
    <row r="60" spans="1:10" ht="12.75">
      <c r="A60" s="55"/>
      <c r="B60" s="56"/>
      <c r="C60" s="56"/>
      <c r="D60" s="57"/>
      <c r="E60" s="58"/>
      <c r="F60" s="59"/>
      <c r="G60" s="60"/>
      <c r="H60" s="60"/>
      <c r="I60" s="41"/>
      <c r="J60" s="37"/>
    </row>
    <row r="61" spans="1:10" ht="12.75">
      <c r="A61" s="61" t="s">
        <v>20</v>
      </c>
      <c r="B61" s="56"/>
      <c r="C61" s="56"/>
      <c r="D61" s="57"/>
      <c r="E61" s="57"/>
      <c r="F61" s="59"/>
      <c r="G61" s="60"/>
      <c r="H61" s="60" t="str">
        <f>IF(E61*G61,+E61*G61,"        ")</f>
        <v>        </v>
      </c>
      <c r="I61" s="41"/>
      <c r="J61" s="37"/>
    </row>
    <row r="62" spans="1:10" ht="12.75">
      <c r="A62" s="61" t="s">
        <v>100</v>
      </c>
      <c r="B62" s="56"/>
      <c r="C62" s="56"/>
      <c r="D62" s="57"/>
      <c r="E62" s="58">
        <v>0.205</v>
      </c>
      <c r="F62" s="63" t="s">
        <v>8</v>
      </c>
      <c r="G62" s="60">
        <f>+$B$13</f>
        <v>500</v>
      </c>
      <c r="H62" s="60">
        <f>IF(E62*G62,+E62*G62,"        ")</f>
        <v>102.5</v>
      </c>
      <c r="I62" s="41">
        <f t="shared" si="2"/>
        <v>0.12424242424242424</v>
      </c>
      <c r="J62" s="37">
        <f>H62/H$89</f>
        <v>0.013942107947330888</v>
      </c>
    </row>
    <row r="63" spans="1:10" ht="12.75">
      <c r="A63" s="61" t="s">
        <v>101</v>
      </c>
      <c r="B63" s="56"/>
      <c r="C63" s="56"/>
      <c r="D63" s="57"/>
      <c r="E63" s="57"/>
      <c r="F63" s="59"/>
      <c r="G63" s="60"/>
      <c r="H63" s="60"/>
      <c r="I63" s="41"/>
      <c r="J63" s="37"/>
    </row>
    <row r="64" spans="1:10" ht="12.75">
      <c r="A64" s="55"/>
      <c r="B64" s="56"/>
      <c r="C64" s="56"/>
      <c r="D64" s="57"/>
      <c r="E64" s="58"/>
      <c r="F64" s="59"/>
      <c r="G64" s="60"/>
      <c r="H64" s="60"/>
      <c r="I64" s="41"/>
      <c r="J64" s="37"/>
    </row>
    <row r="65" spans="1:10" ht="12.75">
      <c r="A65" s="61" t="s">
        <v>19</v>
      </c>
      <c r="B65" s="56"/>
      <c r="C65" s="62"/>
      <c r="D65" s="57"/>
      <c r="E65" s="58">
        <v>0.7517</v>
      </c>
      <c r="F65" s="63" t="s">
        <v>8</v>
      </c>
      <c r="G65" s="60">
        <f>+$B$13</f>
        <v>500</v>
      </c>
      <c r="H65" s="60">
        <f aca="true" t="shared" si="5" ref="H65:H71">IF(E65*G65,+E65*G65,"        ")</f>
        <v>375.85</v>
      </c>
      <c r="I65" s="41">
        <f t="shared" si="2"/>
        <v>0.45557575757575763</v>
      </c>
      <c r="J65" s="37">
        <f>H65/H$89</f>
        <v>0.051123329482968924</v>
      </c>
    </row>
    <row r="66" spans="1:10" ht="12.75">
      <c r="A66" s="55"/>
      <c r="B66" s="56"/>
      <c r="C66" s="62"/>
      <c r="D66" s="66"/>
      <c r="E66" s="57"/>
      <c r="F66" s="59"/>
      <c r="G66" s="60"/>
      <c r="H66" s="60" t="str">
        <f t="shared" si="5"/>
        <v>        </v>
      </c>
      <c r="I66" s="41"/>
      <c r="J66" s="37"/>
    </row>
    <row r="67" spans="1:10" ht="12.75">
      <c r="A67" s="61" t="s">
        <v>18</v>
      </c>
      <c r="B67" s="56"/>
      <c r="C67" s="56"/>
      <c r="D67" s="63" t="s">
        <v>17</v>
      </c>
      <c r="E67" s="58">
        <v>0.3983</v>
      </c>
      <c r="F67" s="63" t="s">
        <v>8</v>
      </c>
      <c r="G67" s="60">
        <f>+$B$13</f>
        <v>500</v>
      </c>
      <c r="H67" s="60">
        <f t="shared" si="5"/>
        <v>199.15</v>
      </c>
      <c r="I67" s="41">
        <f t="shared" si="2"/>
        <v>0.2413939393939394</v>
      </c>
      <c r="J67" s="37">
        <f>H67/H$89</f>
        <v>0.027088495587423867</v>
      </c>
    </row>
    <row r="68" spans="1:10" ht="12.75">
      <c r="A68" s="55"/>
      <c r="B68" s="56"/>
      <c r="C68" s="62"/>
      <c r="D68" s="66"/>
      <c r="E68" s="57"/>
      <c r="F68" s="59"/>
      <c r="G68" s="60"/>
      <c r="H68" s="60" t="str">
        <f t="shared" si="5"/>
        <v>        </v>
      </c>
      <c r="I68" s="41"/>
      <c r="J68" s="37"/>
    </row>
    <row r="69" spans="1:10" ht="12.75">
      <c r="A69" s="61" t="s">
        <v>16</v>
      </c>
      <c r="B69" s="56"/>
      <c r="C69" s="56"/>
      <c r="D69" s="57"/>
      <c r="E69" s="58"/>
      <c r="F69" s="59"/>
      <c r="G69" s="60"/>
      <c r="H69" s="60" t="str">
        <f t="shared" si="5"/>
        <v>        </v>
      </c>
      <c r="I69" s="41"/>
      <c r="J69" s="37"/>
    </row>
    <row r="70" spans="1:10" ht="12.75">
      <c r="A70" s="61" t="s">
        <v>103</v>
      </c>
      <c r="B70" s="56"/>
      <c r="C70" s="56"/>
      <c r="D70" s="57"/>
      <c r="E70" s="58">
        <v>0.4399</v>
      </c>
      <c r="F70" s="63" t="s">
        <v>8</v>
      </c>
      <c r="G70" s="60">
        <f>+$B$13</f>
        <v>500</v>
      </c>
      <c r="H70" s="60">
        <f t="shared" si="5"/>
        <v>219.95000000000002</v>
      </c>
      <c r="I70" s="41">
        <f t="shared" si="2"/>
        <v>0.2666060606060606</v>
      </c>
      <c r="J70" s="37">
        <f>H70/H$89</f>
        <v>0.02991772334649199</v>
      </c>
    </row>
    <row r="71" spans="1:10" ht="12.75">
      <c r="A71" s="61" t="s">
        <v>102</v>
      </c>
      <c r="B71" s="56"/>
      <c r="C71" s="64"/>
      <c r="D71" s="57"/>
      <c r="E71" s="58"/>
      <c r="F71" s="59"/>
      <c r="G71" s="60"/>
      <c r="H71" s="60" t="str">
        <f t="shared" si="5"/>
        <v>        </v>
      </c>
      <c r="I71" s="41"/>
      <c r="J71" s="37"/>
    </row>
    <row r="72" spans="1:10" ht="12.75">
      <c r="A72" s="61" t="s">
        <v>15</v>
      </c>
      <c r="B72" s="56"/>
      <c r="C72" s="62"/>
      <c r="D72" s="66"/>
      <c r="E72" s="57"/>
      <c r="F72" s="59"/>
      <c r="G72" s="57"/>
      <c r="H72" s="57"/>
      <c r="I72" s="41"/>
      <c r="J72" s="37"/>
    </row>
    <row r="73" spans="1:10" ht="12.75">
      <c r="A73" s="55"/>
      <c r="B73" s="56"/>
      <c r="C73" s="62"/>
      <c r="D73" s="66"/>
      <c r="E73" s="57"/>
      <c r="F73" s="59"/>
      <c r="G73" s="60"/>
      <c r="H73" s="60" t="str">
        <f>IF(E73*G73,+E73*G73,"        ")</f>
        <v>        </v>
      </c>
      <c r="I73" s="41"/>
      <c r="J73" s="37"/>
    </row>
    <row r="74" spans="1:10" ht="12.75">
      <c r="A74" s="61" t="s">
        <v>14</v>
      </c>
      <c r="B74" s="56"/>
      <c r="C74" s="56"/>
      <c r="D74" s="57"/>
      <c r="E74" s="57"/>
      <c r="F74" s="59"/>
      <c r="G74" s="60"/>
      <c r="H74" s="60" t="str">
        <f>IF(E74*G74,+E74*G74,"        ")</f>
        <v>        </v>
      </c>
      <c r="I74" s="41"/>
      <c r="J74" s="37"/>
    </row>
    <row r="75" spans="1:10" ht="12.75">
      <c r="A75" s="61" t="s">
        <v>13</v>
      </c>
      <c r="B75" s="56"/>
      <c r="C75" s="56"/>
      <c r="D75" s="57"/>
      <c r="E75" s="58">
        <v>0.3467</v>
      </c>
      <c r="F75" s="63" t="s">
        <v>8</v>
      </c>
      <c r="G75" s="60">
        <f>+$B$13</f>
        <v>500</v>
      </c>
      <c r="H75" s="60">
        <f>IF(E75*G75,+E75*G75,"        ")</f>
        <v>173.35</v>
      </c>
      <c r="I75" s="41">
        <f t="shared" si="2"/>
        <v>0.21012121212121213</v>
      </c>
      <c r="J75" s="37">
        <f>H75/H$89</f>
        <v>0.023579165001656677</v>
      </c>
    </row>
    <row r="76" spans="1:10" ht="12.75">
      <c r="A76" s="61" t="s">
        <v>12</v>
      </c>
      <c r="B76" s="56"/>
      <c r="C76" s="56"/>
      <c r="D76" s="57"/>
      <c r="E76" s="57"/>
      <c r="F76" s="59"/>
      <c r="G76" s="57"/>
      <c r="H76" s="57"/>
      <c r="I76" s="41"/>
      <c r="J76" s="37"/>
    </row>
    <row r="77" spans="1:10" ht="12.75">
      <c r="A77" s="55"/>
      <c r="B77" s="56"/>
      <c r="C77" s="62"/>
      <c r="D77" s="66"/>
      <c r="E77" s="57"/>
      <c r="F77" s="59"/>
      <c r="G77" s="60"/>
      <c r="H77" s="60" t="str">
        <f>IF(E77*G77,+E77*G77,"        ")</f>
        <v>        </v>
      </c>
      <c r="I77" s="41"/>
      <c r="J77" s="37"/>
    </row>
    <row r="78" spans="1:10" ht="12.75">
      <c r="A78" s="61" t="s">
        <v>11</v>
      </c>
      <c r="B78" s="56"/>
      <c r="C78" s="56"/>
      <c r="D78" s="57"/>
      <c r="E78" s="58">
        <v>0.7517</v>
      </c>
      <c r="F78" s="63" t="s">
        <v>8</v>
      </c>
      <c r="G78" s="60">
        <f>+$B$13</f>
        <v>500</v>
      </c>
      <c r="H78" s="60">
        <f>IF(E78*G78,+E78*G78,"        ")</f>
        <v>375.85</v>
      </c>
      <c r="I78" s="41">
        <f t="shared" si="2"/>
        <v>0.45557575757575763</v>
      </c>
      <c r="J78" s="37">
        <f>H78/H$89</f>
        <v>0.051123329482968924</v>
      </c>
    </row>
    <row r="79" spans="1:10" ht="12.75">
      <c r="A79" s="55"/>
      <c r="B79" s="56"/>
      <c r="C79" s="62"/>
      <c r="D79" s="66"/>
      <c r="E79" s="57"/>
      <c r="F79" s="59"/>
      <c r="G79" s="60"/>
      <c r="H79" s="60" t="str">
        <f>IF(E79*G79,+E79*G79,"        ")</f>
        <v>        </v>
      </c>
      <c r="I79" s="41"/>
      <c r="J79" s="37"/>
    </row>
    <row r="80" spans="1:10" ht="12.75">
      <c r="A80" s="61" t="s">
        <v>10</v>
      </c>
      <c r="B80" s="56"/>
      <c r="C80" s="62"/>
      <c r="D80" s="67" t="s">
        <v>9</v>
      </c>
      <c r="E80" s="58">
        <v>1.5983</v>
      </c>
      <c r="F80" s="63" t="s">
        <v>8</v>
      </c>
      <c r="G80" s="60">
        <f>+$B$13</f>
        <v>500</v>
      </c>
      <c r="H80" s="60">
        <f>IF(E80*G80,+E80*G80,"        ")</f>
        <v>799.15</v>
      </c>
      <c r="I80" s="41">
        <f t="shared" si="2"/>
        <v>0.9686666666666668</v>
      </c>
      <c r="J80" s="37">
        <f>H80/H$89</f>
        <v>0.108700834791312</v>
      </c>
    </row>
    <row r="81" spans="1:10" ht="9.75" customHeight="1" thickBot="1">
      <c r="A81" s="68"/>
      <c r="B81" s="69"/>
      <c r="C81" s="69"/>
      <c r="D81" s="70"/>
      <c r="E81" s="70"/>
      <c r="F81" s="71"/>
      <c r="G81" s="70"/>
      <c r="H81" s="70"/>
      <c r="I81" s="72"/>
      <c r="J81" s="54"/>
    </row>
    <row r="82" spans="1:10" ht="9.75" customHeight="1">
      <c r="A82" s="30"/>
      <c r="B82" s="30"/>
      <c r="C82" s="30"/>
      <c r="D82" s="30"/>
      <c r="E82" s="30"/>
      <c r="F82" s="103"/>
      <c r="G82" s="30"/>
      <c r="H82" s="30"/>
      <c r="I82" s="104"/>
      <c r="J82" s="11"/>
    </row>
    <row r="83" spans="1:10" ht="23.25" customHeight="1">
      <c r="A83" s="167" t="s">
        <v>113</v>
      </c>
      <c r="B83" s="167"/>
      <c r="C83" s="167"/>
      <c r="D83" s="167"/>
      <c r="E83" s="167"/>
      <c r="F83" s="167"/>
      <c r="G83" s="167"/>
      <c r="H83" s="167"/>
      <c r="I83" s="167"/>
      <c r="J83" s="167"/>
    </row>
    <row r="84" spans="1:12" s="3" customFormat="1" ht="13.5" thickBot="1">
      <c r="A84" s="30"/>
      <c r="B84" s="30"/>
      <c r="C84" s="30"/>
      <c r="D84" s="30"/>
      <c r="E84" s="30"/>
      <c r="F84" s="30"/>
      <c r="G84" s="30"/>
      <c r="H84" s="30"/>
      <c r="I84" s="105"/>
      <c r="J84" s="56"/>
      <c r="K84" s="91"/>
      <c r="L84" s="91"/>
    </row>
    <row r="85" spans="1:12" s="5" customFormat="1" ht="12.75">
      <c r="A85" s="73" t="s">
        <v>7</v>
      </c>
      <c r="B85" s="74"/>
      <c r="C85" s="75"/>
      <c r="D85" s="76"/>
      <c r="E85" s="76"/>
      <c r="F85" s="74"/>
      <c r="G85" s="76"/>
      <c r="H85" s="77">
        <f>SUM(H21:H80)</f>
        <v>7020.919486924748</v>
      </c>
      <c r="I85" s="177"/>
      <c r="J85" s="108"/>
      <c r="K85" s="95"/>
      <c r="L85" s="95"/>
    </row>
    <row r="86" spans="1:10" ht="12.75">
      <c r="A86" s="61" t="s">
        <v>6</v>
      </c>
      <c r="B86" s="56"/>
      <c r="C86" s="30"/>
      <c r="D86" s="30"/>
      <c r="E86" s="30"/>
      <c r="F86" s="30"/>
      <c r="G86" s="78"/>
      <c r="H86" s="79">
        <f>(H85*0.02)</f>
        <v>140.41838973849497</v>
      </c>
      <c r="I86" s="178"/>
      <c r="J86" s="107"/>
    </row>
    <row r="87" spans="1:10" ht="12.75">
      <c r="A87" s="61" t="s">
        <v>5</v>
      </c>
      <c r="B87" s="56"/>
      <c r="C87" s="30"/>
      <c r="D87" s="30"/>
      <c r="E87" s="30"/>
      <c r="F87" s="30"/>
      <c r="G87" s="78"/>
      <c r="H87" s="79">
        <v>0</v>
      </c>
      <c r="I87" s="179"/>
      <c r="J87" s="107">
        <f>8/12</f>
        <v>0.6666666666666666</v>
      </c>
    </row>
    <row r="88" spans="1:10" ht="12.75">
      <c r="A88" s="61" t="s">
        <v>115</v>
      </c>
      <c r="B88" s="56"/>
      <c r="C88" s="56"/>
      <c r="D88" s="56"/>
      <c r="E88" s="56"/>
      <c r="F88" s="56"/>
      <c r="G88" s="56"/>
      <c r="H88" s="80">
        <f>SUM(H85:H87)*0.0266</f>
        <v>190.49158751924224</v>
      </c>
      <c r="I88" s="106">
        <f>+H86+H87+H88</f>
        <v>330.9099772577372</v>
      </c>
      <c r="J88" s="107">
        <f>+J87*4</f>
        <v>2.6666666666666665</v>
      </c>
    </row>
    <row r="89" spans="1:12" s="5" customFormat="1" ht="13.5" thickBot="1">
      <c r="A89" s="131" t="s">
        <v>4</v>
      </c>
      <c r="B89" s="132"/>
      <c r="C89" s="132"/>
      <c r="D89" s="132"/>
      <c r="E89" s="132"/>
      <c r="F89" s="132"/>
      <c r="G89" s="133"/>
      <c r="H89" s="134">
        <f>SUM(H85:H88)</f>
        <v>7351.829464182484</v>
      </c>
      <c r="I89" s="180"/>
      <c r="J89" s="108"/>
      <c r="K89" s="95"/>
      <c r="L89" s="95"/>
    </row>
    <row r="90" spans="1:12" s="4" customFormat="1" ht="12.75">
      <c r="A90" s="111"/>
      <c r="B90" s="112"/>
      <c r="C90" s="112"/>
      <c r="D90" s="112"/>
      <c r="E90" s="112"/>
      <c r="F90" s="112"/>
      <c r="G90" s="110"/>
      <c r="H90" s="113">
        <f>SUM(H86:H88)</f>
        <v>330.9099772577372</v>
      </c>
      <c r="I90" s="109"/>
      <c r="J90" s="110"/>
      <c r="K90" s="96"/>
      <c r="L90" s="96"/>
    </row>
    <row r="91" spans="1:12" s="3" customFormat="1" ht="13.5" thickBot="1">
      <c r="A91" s="30"/>
      <c r="B91" s="30"/>
      <c r="C91" s="30"/>
      <c r="D91" s="30"/>
      <c r="E91" s="30"/>
      <c r="F91" s="30"/>
      <c r="G91" s="30"/>
      <c r="H91" s="30"/>
      <c r="I91" s="105"/>
      <c r="J91" s="56"/>
      <c r="K91" s="91"/>
      <c r="L91" s="91"/>
    </row>
    <row r="92" spans="1:10" ht="16.5" customHeight="1">
      <c r="A92" s="135" t="s">
        <v>3</v>
      </c>
      <c r="B92" s="136"/>
      <c r="C92" s="137">
        <f>SUM(H34:H43)</f>
        <v>407.26</v>
      </c>
      <c r="D92" s="138">
        <f>(C92/H85)</f>
        <v>0.05800664724306432</v>
      </c>
      <c r="E92" s="139" t="s">
        <v>2</v>
      </c>
      <c r="F92" s="140"/>
      <c r="G92" s="141">
        <f>SUM(H53:H80)</f>
        <v>2987.4500000000003</v>
      </c>
      <c r="H92" s="142">
        <f>(G92/H85)</f>
        <v>0.42550694471908</v>
      </c>
      <c r="I92" s="104"/>
      <c r="J92" s="11"/>
    </row>
    <row r="93" spans="1:10" ht="16.5" customHeight="1">
      <c r="A93" s="143" t="s">
        <v>1</v>
      </c>
      <c r="B93" s="144"/>
      <c r="C93" s="145">
        <f>SUM(H46:H49)</f>
        <v>870</v>
      </c>
      <c r="D93" s="146">
        <f>ROUND((C93/H85),7)</f>
        <v>0.1239154</v>
      </c>
      <c r="E93" s="147" t="s">
        <v>0</v>
      </c>
      <c r="F93" s="148"/>
      <c r="G93" s="149">
        <f>SUM(H21:H31)</f>
        <v>2756.209486924748</v>
      </c>
      <c r="H93" s="150">
        <f>(G93/H85)</f>
        <v>0.3925710146737494</v>
      </c>
      <c r="I93" s="11"/>
      <c r="J93" s="11"/>
    </row>
    <row r="94" spans="1:10" ht="7.5" customHeight="1" thickBot="1">
      <c r="A94" s="128"/>
      <c r="B94" s="151"/>
      <c r="C94" s="129"/>
      <c r="D94" s="130"/>
      <c r="E94" s="152"/>
      <c r="F94" s="129"/>
      <c r="G94" s="152"/>
      <c r="H94" s="153"/>
      <c r="I94" s="104"/>
      <c r="J94" s="11"/>
    </row>
    <row r="95" spans="1:12" s="2" customFormat="1" ht="15.75" customHeight="1">
      <c r="A95" s="174" t="s">
        <v>107</v>
      </c>
      <c r="B95" s="174"/>
      <c r="C95" s="174"/>
      <c r="D95" s="174"/>
      <c r="E95" s="174"/>
      <c r="F95" s="174"/>
      <c r="G95" s="174"/>
      <c r="H95" s="174"/>
      <c r="I95" s="174"/>
      <c r="J95" s="174"/>
      <c r="K95" s="97"/>
      <c r="L95" s="97"/>
    </row>
    <row r="96" spans="1:12" s="2" customFormat="1" ht="38.25" customHeight="1">
      <c r="A96" s="176" t="s">
        <v>116</v>
      </c>
      <c r="B96" s="176"/>
      <c r="C96" s="176"/>
      <c r="D96" s="176"/>
      <c r="E96" s="176"/>
      <c r="F96" s="176"/>
      <c r="G96" s="176"/>
      <c r="H96" s="176"/>
      <c r="I96" s="176"/>
      <c r="J96" s="176"/>
      <c r="K96" s="97"/>
      <c r="L96" s="97"/>
    </row>
    <row r="97" spans="1:12" s="2" customFormat="1" ht="13.5" customHeight="1">
      <c r="A97" s="98" t="s">
        <v>108</v>
      </c>
      <c r="B97" s="98"/>
      <c r="C97" s="98"/>
      <c r="D97" s="98"/>
      <c r="E97" s="98"/>
      <c r="F97" s="98"/>
      <c r="G97" s="98"/>
      <c r="H97" s="98"/>
      <c r="I97" s="98"/>
      <c r="J97" s="98"/>
      <c r="K97" s="97"/>
      <c r="L97" s="97"/>
    </row>
    <row r="98" spans="1:12" s="2" customFormat="1" ht="15" customHeight="1">
      <c r="A98" s="175" t="s">
        <v>105</v>
      </c>
      <c r="B98" s="175"/>
      <c r="C98" s="175"/>
      <c r="D98" s="175"/>
      <c r="E98" s="175"/>
      <c r="F98" s="175"/>
      <c r="G98" s="175"/>
      <c r="H98" s="175"/>
      <c r="I98" s="175"/>
      <c r="J98" s="175"/>
      <c r="K98" s="97"/>
      <c r="L98" s="97"/>
    </row>
    <row r="99" spans="1:12" s="2" customFormat="1" ht="12.75" customHeight="1">
      <c r="A99" s="6" t="s">
        <v>106</v>
      </c>
      <c r="B99" s="6"/>
      <c r="C99" s="7"/>
      <c r="D99" s="8"/>
      <c r="E99" s="6"/>
      <c r="F99" s="6"/>
      <c r="G99" s="7"/>
      <c r="H99" s="8"/>
      <c r="I99" s="9"/>
      <c r="J99" s="6"/>
      <c r="K99" s="97"/>
      <c r="L99" s="97"/>
    </row>
    <row r="100" spans="1:12" s="2" customFormat="1" ht="13.5">
      <c r="A100" s="6" t="s">
        <v>111</v>
      </c>
      <c r="B100" s="6"/>
      <c r="C100" s="6"/>
      <c r="D100" s="6"/>
      <c r="E100" s="6"/>
      <c r="F100" s="6"/>
      <c r="G100" s="6"/>
      <c r="H100" s="6"/>
      <c r="I100" s="6"/>
      <c r="J100" s="6"/>
      <c r="K100" s="97"/>
      <c r="L100" s="97"/>
    </row>
    <row r="101" spans="1:12" s="2" customFormat="1" ht="13.5">
      <c r="A101" s="6" t="s">
        <v>110</v>
      </c>
      <c r="B101" s="6"/>
      <c r="C101" s="6"/>
      <c r="D101" s="6"/>
      <c r="E101" s="6"/>
      <c r="F101" s="6"/>
      <c r="G101" s="6"/>
      <c r="H101" s="6"/>
      <c r="I101" s="6"/>
      <c r="J101" s="6"/>
      <c r="K101" s="97"/>
      <c r="L101" s="97"/>
    </row>
    <row r="102" spans="1:10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10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ht="13.5">
      <c r="A111" s="159" t="s">
        <v>114</v>
      </c>
      <c r="B111" s="159"/>
      <c r="C111" s="159"/>
      <c r="D111" s="159"/>
      <c r="E111" s="159"/>
      <c r="F111" s="159"/>
      <c r="G111" s="159"/>
      <c r="H111" s="159"/>
      <c r="I111" s="159"/>
      <c r="J111" s="159"/>
    </row>
  </sheetData>
  <sheetProtection/>
  <mergeCells count="10">
    <mergeCell ref="A111:J111"/>
    <mergeCell ref="I15:I19"/>
    <mergeCell ref="J15:J19"/>
    <mergeCell ref="A1:J1"/>
    <mergeCell ref="A51:J51"/>
    <mergeCell ref="A15:H16"/>
    <mergeCell ref="A83:J83"/>
    <mergeCell ref="A95:J95"/>
    <mergeCell ref="A98:J98"/>
    <mergeCell ref="A96:J96"/>
  </mergeCells>
  <printOptions/>
  <pageMargins left="0.84" right="0.3937007874015748" top="0.6299212598425197" bottom="0.7086614173228347" header="0" footer="0"/>
  <pageSetup horizontalDpi="300" verticalDpi="300" orientation="portrait" scale="85" r:id="rId1"/>
  <rowBreaks count="2" manualBreakCount="2">
    <brk id="51" max="255" man="1"/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 . EST.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Karisovic</cp:lastModifiedBy>
  <cp:lastPrinted>2017-04-25T15:16:11Z</cp:lastPrinted>
  <dcterms:created xsi:type="dcterms:W3CDTF">1999-01-26T15:28:14Z</dcterms:created>
  <dcterms:modified xsi:type="dcterms:W3CDTF">2019-09-04T16:15:13Z</dcterms:modified>
  <cp:category/>
  <cp:version/>
  <cp:contentType/>
  <cp:contentStatus/>
</cp:coreProperties>
</file>