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<sst xmlns="http://schemas.openxmlformats.org/spreadsheetml/2006/main" count="96" uniqueCount="64">
  <si>
    <t xml:space="preserve">  ESTIMADO DE COSTO DE PRODUCCION PARA LA EXPLOTACION DE UNA TAREA  DE NISPERO</t>
  </si>
  <si>
    <t>Actividad</t>
  </si>
  <si>
    <t xml:space="preserve">Valor </t>
  </si>
  <si>
    <t>1er. Año</t>
  </si>
  <si>
    <t>2do. Año</t>
  </si>
  <si>
    <t>3er. Año</t>
  </si>
  <si>
    <t>4-10 Año</t>
  </si>
  <si>
    <t>Costo</t>
  </si>
  <si>
    <t>Mes</t>
  </si>
  <si>
    <t>Unidad</t>
  </si>
  <si>
    <t>Unitario</t>
  </si>
  <si>
    <t>Total</t>
  </si>
  <si>
    <t>1- INSUMOS</t>
  </si>
  <si>
    <t>Plantas</t>
  </si>
  <si>
    <t xml:space="preserve">      (12-24-12)</t>
  </si>
  <si>
    <t>Quintal</t>
  </si>
  <si>
    <t xml:space="preserve">      (Sistemín)</t>
  </si>
  <si>
    <t>Litro</t>
  </si>
  <si>
    <t xml:space="preserve">      (Dithane M-45)</t>
  </si>
  <si>
    <t>Kilo</t>
  </si>
  <si>
    <t>2-  PREPARACION DEL TERRENO</t>
  </si>
  <si>
    <t>Tarea</t>
  </si>
  <si>
    <t>-</t>
  </si>
  <si>
    <t>3-  MANO DE OBRA</t>
  </si>
  <si>
    <t>Hom-Día</t>
  </si>
  <si>
    <t>I</t>
  </si>
  <si>
    <t>II</t>
  </si>
  <si>
    <t>V-VIII</t>
  </si>
  <si>
    <t>III-VI</t>
  </si>
  <si>
    <t>IV-XII</t>
  </si>
  <si>
    <t xml:space="preserve">  SUBTOTAL </t>
  </si>
  <si>
    <t xml:space="preserve">  TOTAL GENERAL</t>
  </si>
  <si>
    <t>Cant.</t>
  </si>
  <si>
    <t>Participacion (%) por Actividad</t>
  </si>
  <si>
    <t>Total Costo Fomento</t>
  </si>
  <si>
    <t>Las unidades de médida expresadas en los insumos corresponde a la forma en la que los productores  la obtienen de los puntos de venta o agroquímicas.</t>
  </si>
  <si>
    <t>COSTO FOMENTO: desde el año 1 al 3   Y  COSTO MANTENIMIENTO:  del cuarto año en adelante.</t>
  </si>
  <si>
    <t>Una Hectárea equivale a 15.9 tareas.</t>
  </si>
  <si>
    <t xml:space="preserve">Notas: </t>
  </si>
  <si>
    <t>El uso de una "MARCA DE FABRICA" no constituye una recomendación del producto, sino lo que informaron los productores.</t>
  </si>
  <si>
    <t xml:space="preserve">               Estimados por la División de Estudios Económicos.</t>
  </si>
  <si>
    <t>Fuente:  Ministerio de Agricultura, Departamento de Economía Agropecuaria.</t>
  </si>
  <si>
    <t xml:space="preserve">1.Compra de Plántulas </t>
  </si>
  <si>
    <t>2. Compra para la Resiembra</t>
  </si>
  <si>
    <t xml:space="preserve">3. Compra de Fertilizante </t>
  </si>
  <si>
    <t xml:space="preserve">4. Compra de Insecticida </t>
  </si>
  <si>
    <t>5. Compra de Fungicida</t>
  </si>
  <si>
    <t xml:space="preserve">1.Corte </t>
  </si>
  <si>
    <t xml:space="preserve">2.Cruce </t>
  </si>
  <si>
    <t xml:space="preserve">3.Rastra </t>
  </si>
  <si>
    <t>1.Marcado y Alineación</t>
  </si>
  <si>
    <t>3. Construcción de Hoyos Siembra</t>
  </si>
  <si>
    <t>2. Transporte de Plantas</t>
  </si>
  <si>
    <t>4.Construccion de Hoyos Resiembra</t>
  </si>
  <si>
    <t>5.Transporte de Fertilizantes</t>
  </si>
  <si>
    <t>6.Aplicación de Fertilizantes</t>
  </si>
  <si>
    <t>7. Aplicación de Pesticidas</t>
  </si>
  <si>
    <t>8. Desyerbos (2 aplicaciones/año)</t>
  </si>
  <si>
    <t>9.Recolección y Empaque</t>
  </si>
  <si>
    <t>Página 163</t>
  </si>
  <si>
    <t xml:space="preserve">  GASTOS ADMINISTRATIVOS (2%)</t>
  </si>
  <si>
    <t xml:space="preserve">  PAGOS INTERESES 8.0% ANUAL (12 meses 8.0%)</t>
  </si>
  <si>
    <t xml:space="preserve">  REPUBLICA DOMINICANA,  2019.-  (En RD$)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</si>
  <si>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 Precio de los insumos actualizados a mayo, 2019.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</si>
</sst>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.00_)"/>
    <numFmt numFmtId="188" formatCode="0.0000_)"/>
    <numFmt numFmtId="189" formatCode="_(* #,##0_);_(* \(#,##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#,##0.00_ ;\-#,##0.00\ "/>
    <numFmt numFmtId="193" formatCode="#,##0.0\ _€;\-#,##0.0\ _€"/>
    <numFmt numFmtId="194" formatCode="0_)"/>
    <numFmt numFmtId="195" formatCode="#,##0.00\ _€"/>
    <numFmt numFmtId="196" formatCode="0.0000"/>
  </numFmts>
  <fonts count="52">
    <font>
      <sz val="10"/>
      <name val="Arial"/>
      <family val="0"/>
    </font>
    <font>
      <sz val="11"/>
      <color indexed="8"/>
      <name val="Baskerville Old Face"/>
      <family val="1"/>
    </font>
    <font>
      <sz val="11"/>
      <color indexed="17"/>
      <name val="Baskerville Old Face"/>
      <family val="1"/>
    </font>
    <font>
      <sz val="10"/>
      <name val="Baskerville Old Face"/>
      <family val="1"/>
    </font>
    <font>
      <b/>
      <sz val="10"/>
      <name val="Baskerville Old Face"/>
      <family val="1"/>
    </font>
    <font>
      <b/>
      <sz val="9"/>
      <name val="Baskerville Old Face"/>
      <family val="1"/>
    </font>
    <font>
      <sz val="9"/>
      <name val="Baskerville Old Face"/>
      <family val="1"/>
    </font>
    <font>
      <sz val="8"/>
      <name val="Arial"/>
      <family val="2"/>
    </font>
    <font>
      <sz val="10"/>
      <color indexed="9"/>
      <name val="Baskerville Old Face"/>
      <family val="1"/>
    </font>
    <font>
      <sz val="9"/>
      <name val="Arial Narrow"/>
      <family val="2"/>
    </font>
    <font>
      <sz val="10"/>
      <name val="Arial Narrow"/>
      <family val="2"/>
    </font>
    <font>
      <b/>
      <sz val="12"/>
      <name val="Baskerville Old Face"/>
      <family val="1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Baskerville Old Face"/>
      <family val="1"/>
    </font>
    <font>
      <b/>
      <sz val="10"/>
      <color indexed="9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Baskerville Old Face"/>
      <family val="1"/>
    </font>
    <font>
      <sz val="10"/>
      <color theme="0"/>
      <name val="Baskerville Old Face"/>
      <family val="1"/>
    </font>
    <font>
      <b/>
      <sz val="10"/>
      <color theme="0"/>
      <name val="Baskerville Old Fa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F9B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FFFF00"/>
      </left>
      <right>
        <color indexed="63"/>
      </right>
      <top style="thin">
        <color rgb="FFFFFF00"/>
      </top>
      <bottom>
        <color indexed="63"/>
      </bottom>
    </border>
    <border>
      <left>
        <color indexed="63"/>
      </left>
      <right>
        <color indexed="63"/>
      </right>
      <top style="thin">
        <color rgb="FFFFFF00"/>
      </top>
      <bottom>
        <color indexed="63"/>
      </bottom>
    </border>
    <border>
      <left>
        <color indexed="63"/>
      </left>
      <right style="thin">
        <color rgb="FFFFFF00"/>
      </right>
      <top style="thin">
        <color rgb="FFFFFF00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87" fontId="3" fillId="0" borderId="0" xfId="0" applyNumberFormat="1" applyFont="1" applyAlignment="1" applyProtection="1">
      <alignment/>
      <protection/>
    </xf>
    <xf numFmtId="188" fontId="3" fillId="0" borderId="0" xfId="0" applyNumberFormat="1" applyFont="1" applyAlignment="1" applyProtection="1">
      <alignment/>
      <protection/>
    </xf>
    <xf numFmtId="0" fontId="2" fillId="0" borderId="0" xfId="0" applyFont="1" applyFill="1" applyBorder="1" applyAlignment="1">
      <alignment vertical="center"/>
    </xf>
    <xf numFmtId="0" fontId="6" fillId="0" borderId="10" xfId="0" applyFont="1" applyBorder="1" applyAlignment="1" applyProtection="1">
      <alignment horizontal="fill"/>
      <protection/>
    </xf>
    <xf numFmtId="0" fontId="6" fillId="0" borderId="11" xfId="0" applyFont="1" applyBorder="1" applyAlignment="1" applyProtection="1">
      <alignment horizontal="fill"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87" fontId="3" fillId="0" borderId="0" xfId="0" applyNumberFormat="1" applyFont="1" applyAlignment="1">
      <alignment/>
    </xf>
    <xf numFmtId="0" fontId="10" fillId="0" borderId="0" xfId="0" applyFont="1" applyAlignment="1">
      <alignment/>
    </xf>
    <xf numFmtId="43" fontId="10" fillId="0" borderId="0" xfId="47" applyFont="1" applyAlignment="1">
      <alignment/>
    </xf>
    <xf numFmtId="43" fontId="10" fillId="0" borderId="0" xfId="0" applyNumberFormat="1" applyFont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5" fillId="33" borderId="11" xfId="0" applyFont="1" applyFill="1" applyBorder="1" applyAlignment="1" applyProtection="1">
      <alignment horizontal="left"/>
      <protection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left"/>
    </xf>
    <xf numFmtId="43" fontId="5" fillId="33" borderId="11" xfId="47" applyFont="1" applyFill="1" applyBorder="1" applyAlignment="1">
      <alignment/>
    </xf>
    <xf numFmtId="43" fontId="5" fillId="33" borderId="13" xfId="47" applyFont="1" applyFill="1" applyBorder="1" applyAlignment="1">
      <alignment/>
    </xf>
    <xf numFmtId="0" fontId="6" fillId="33" borderId="10" xfId="0" applyFont="1" applyFill="1" applyBorder="1" applyAlignment="1" applyProtection="1">
      <alignment horizontal="left"/>
      <protection/>
    </xf>
    <xf numFmtId="0" fontId="6" fillId="33" borderId="11" xfId="0" applyFont="1" applyFill="1" applyBorder="1" applyAlignment="1" applyProtection="1">
      <alignment horizontal="left"/>
      <protection/>
    </xf>
    <xf numFmtId="187" fontId="6" fillId="33" borderId="11" xfId="0" applyNumberFormat="1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 horizontal="center"/>
      <protection/>
    </xf>
    <xf numFmtId="187" fontId="6" fillId="33" borderId="11" xfId="0" applyNumberFormat="1" applyFont="1" applyFill="1" applyBorder="1" applyAlignment="1" applyProtection="1">
      <alignment/>
      <protection/>
    </xf>
    <xf numFmtId="187" fontId="5" fillId="33" borderId="11" xfId="0" applyNumberFormat="1" applyFont="1" applyFill="1" applyBorder="1" applyAlignment="1">
      <alignment/>
    </xf>
    <xf numFmtId="9" fontId="3" fillId="33" borderId="12" xfId="53" applyFont="1" applyFill="1" applyBorder="1" applyAlignment="1">
      <alignment horizontal="center"/>
    </xf>
    <xf numFmtId="191" fontId="6" fillId="33" borderId="11" xfId="47" applyNumberFormat="1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191" fontId="3" fillId="33" borderId="11" xfId="47" applyNumberFormat="1" applyFont="1" applyFill="1" applyBorder="1" applyAlignment="1" applyProtection="1">
      <alignment/>
      <protection/>
    </xf>
    <xf numFmtId="43" fontId="6" fillId="33" borderId="11" xfId="47" applyFont="1" applyFill="1" applyBorder="1" applyAlignment="1" applyProtection="1">
      <alignment/>
      <protection/>
    </xf>
    <xf numFmtId="191" fontId="6" fillId="33" borderId="11" xfId="47" applyNumberFormat="1" applyFont="1" applyFill="1" applyBorder="1" applyAlignment="1" applyProtection="1">
      <alignment/>
      <protection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188" fontId="6" fillId="33" borderId="11" xfId="0" applyNumberFormat="1" applyFont="1" applyFill="1" applyBorder="1" applyAlignment="1" applyProtection="1">
      <alignment/>
      <protection/>
    </xf>
    <xf numFmtId="187" fontId="6" fillId="33" borderId="11" xfId="0" applyNumberFormat="1" applyFont="1" applyFill="1" applyBorder="1" applyAlignment="1" applyProtection="1">
      <alignment horizontal="right"/>
      <protection/>
    </xf>
    <xf numFmtId="187" fontId="6" fillId="33" borderId="11" xfId="0" applyNumberFormat="1" applyFont="1" applyFill="1" applyBorder="1" applyAlignment="1" applyProtection="1">
      <alignment horizontal="center"/>
      <protection/>
    </xf>
    <xf numFmtId="191" fontId="9" fillId="33" borderId="11" xfId="47" applyNumberFormat="1" applyFont="1" applyFill="1" applyBorder="1" applyAlignment="1" applyProtection="1">
      <alignment horizontal="right"/>
      <protection/>
    </xf>
    <xf numFmtId="0" fontId="6" fillId="33" borderId="14" xfId="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 horizontal="left"/>
      <protection/>
    </xf>
    <xf numFmtId="188" fontId="6" fillId="33" borderId="15" xfId="0" applyNumberFormat="1" applyFont="1" applyFill="1" applyBorder="1" applyAlignment="1" applyProtection="1">
      <alignment/>
      <protection/>
    </xf>
    <xf numFmtId="187" fontId="6" fillId="33" borderId="15" xfId="0" applyNumberFormat="1" applyFont="1" applyFill="1" applyBorder="1" applyAlignment="1" applyProtection="1">
      <alignment/>
      <protection/>
    </xf>
    <xf numFmtId="187" fontId="6" fillId="33" borderId="15" xfId="0" applyNumberFormat="1" applyFont="1" applyFill="1" applyBorder="1" applyAlignment="1" applyProtection="1">
      <alignment horizontal="center"/>
      <protection/>
    </xf>
    <xf numFmtId="9" fontId="3" fillId="33" borderId="16" xfId="53" applyFont="1" applyFill="1" applyBorder="1" applyAlignment="1">
      <alignment horizontal="center"/>
    </xf>
    <xf numFmtId="0" fontId="5" fillId="33" borderId="17" xfId="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>
      <alignment/>
    </xf>
    <xf numFmtId="193" fontId="5" fillId="33" borderId="18" xfId="0" applyNumberFormat="1" applyFont="1" applyFill="1" applyBorder="1" applyAlignment="1" applyProtection="1">
      <alignment/>
      <protection/>
    </xf>
    <xf numFmtId="39" fontId="5" fillId="33" borderId="18" xfId="0" applyNumberFormat="1" applyFont="1" applyFill="1" applyBorder="1" applyAlignment="1" applyProtection="1">
      <alignment/>
      <protection/>
    </xf>
    <xf numFmtId="39" fontId="5" fillId="33" borderId="19" xfId="0" applyNumberFormat="1" applyFont="1" applyFill="1" applyBorder="1" applyAlignment="1" applyProtection="1">
      <alignment/>
      <protection/>
    </xf>
    <xf numFmtId="0" fontId="6" fillId="33" borderId="2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>
      <alignment/>
    </xf>
    <xf numFmtId="39" fontId="6" fillId="33" borderId="0" xfId="0" applyNumberFormat="1" applyFont="1" applyFill="1" applyBorder="1" applyAlignment="1" applyProtection="1">
      <alignment/>
      <protection/>
    </xf>
    <xf numFmtId="39" fontId="6" fillId="33" borderId="12" xfId="0" applyNumberFormat="1" applyFont="1" applyFill="1" applyBorder="1" applyAlignment="1" applyProtection="1">
      <alignment/>
      <protection/>
    </xf>
    <xf numFmtId="0" fontId="49" fillId="33" borderId="0" xfId="0" applyFont="1" applyFill="1" applyBorder="1" applyAlignment="1" applyProtection="1">
      <alignment horizontal="center" vertical="center"/>
      <protection/>
    </xf>
    <xf numFmtId="0" fontId="50" fillId="33" borderId="21" xfId="0" applyFont="1" applyFill="1" applyBorder="1" applyAlignment="1">
      <alignment/>
    </xf>
    <xf numFmtId="0" fontId="50" fillId="33" borderId="22" xfId="0" applyFont="1" applyFill="1" applyBorder="1" applyAlignment="1">
      <alignment/>
    </xf>
    <xf numFmtId="0" fontId="50" fillId="33" borderId="2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9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196" fontId="9" fillId="33" borderId="0" xfId="0" applyNumberFormat="1" applyFont="1" applyFill="1" applyAlignment="1">
      <alignment/>
    </xf>
    <xf numFmtId="7" fontId="9" fillId="33" borderId="0" xfId="0" applyNumberFormat="1" applyFont="1" applyFill="1" applyAlignment="1" applyProtection="1">
      <alignment/>
      <protection/>
    </xf>
    <xf numFmtId="10" fontId="9" fillId="33" borderId="0" xfId="0" applyNumberFormat="1" applyFont="1" applyFill="1" applyAlignment="1" applyProtection="1">
      <alignment/>
      <protection/>
    </xf>
    <xf numFmtId="194" fontId="9" fillId="33" borderId="0" xfId="0" applyNumberFormat="1" applyFont="1" applyFill="1" applyAlignment="1" applyProtection="1">
      <alignment/>
      <protection/>
    </xf>
    <xf numFmtId="0" fontId="50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96" fontId="10" fillId="33" borderId="0" xfId="0" applyNumberFormat="1" applyFont="1" applyFill="1" applyAlignment="1">
      <alignment/>
    </xf>
    <xf numFmtId="9" fontId="5" fillId="33" borderId="19" xfId="53" applyFont="1" applyFill="1" applyBorder="1" applyAlignment="1" applyProtection="1">
      <alignment horizontal="center"/>
      <protection/>
    </xf>
    <xf numFmtId="0" fontId="50" fillId="0" borderId="0" xfId="0" applyFont="1" applyBorder="1" applyAlignment="1">
      <alignment/>
    </xf>
    <xf numFmtId="39" fontId="50" fillId="0" borderId="0" xfId="0" applyNumberFormat="1" applyFont="1" applyBorder="1" applyAlignment="1">
      <alignment/>
    </xf>
    <xf numFmtId="0" fontId="51" fillId="0" borderId="0" xfId="0" applyFont="1" applyBorder="1" applyAlignment="1">
      <alignment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5" fillId="34" borderId="14" xfId="0" applyFont="1" applyFill="1" applyBorder="1" applyAlignment="1" applyProtection="1">
      <alignment horizontal="fill" vertical="center"/>
      <protection/>
    </xf>
    <xf numFmtId="0" fontId="5" fillId="34" borderId="15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left"/>
      <protection/>
    </xf>
    <xf numFmtId="0" fontId="5" fillId="34" borderId="28" xfId="0" applyFont="1" applyFill="1" applyBorder="1" applyAlignment="1" applyProtection="1">
      <alignment horizontal="left"/>
      <protection/>
    </xf>
    <xf numFmtId="0" fontId="5" fillId="34" borderId="28" xfId="0" applyFont="1" applyFill="1" applyBorder="1" applyAlignment="1">
      <alignment/>
    </xf>
    <xf numFmtId="193" fontId="5" fillId="34" borderId="28" xfId="0" applyNumberFormat="1" applyFont="1" applyFill="1" applyBorder="1" applyAlignment="1" applyProtection="1">
      <alignment/>
      <protection/>
    </xf>
    <xf numFmtId="39" fontId="5" fillId="34" borderId="28" xfId="0" applyNumberFormat="1" applyFont="1" applyFill="1" applyBorder="1" applyAlignment="1" applyProtection="1">
      <alignment/>
      <protection/>
    </xf>
    <xf numFmtId="39" fontId="5" fillId="34" borderId="16" xfId="0" applyNumberFormat="1" applyFont="1" applyFill="1" applyBorder="1" applyAlignment="1" applyProtection="1">
      <alignment/>
      <protection/>
    </xf>
    <xf numFmtId="9" fontId="5" fillId="34" borderId="16" xfId="53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4" fillId="34" borderId="29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15" xfId="0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Alignment="1" applyProtection="1">
      <alignment horizontal="left"/>
      <protection/>
    </xf>
    <xf numFmtId="0" fontId="9" fillId="33" borderId="0" xfId="0" applyNumberFormat="1" applyFont="1" applyFill="1" applyAlignment="1" applyProtection="1">
      <alignment horizontal="left" wrapText="1"/>
      <protection/>
    </xf>
    <xf numFmtId="0" fontId="9" fillId="33" borderId="0" xfId="0" applyNumberFormat="1" applyFont="1" applyFill="1" applyAlignment="1">
      <alignment horizontal="left"/>
    </xf>
    <xf numFmtId="0" fontId="9" fillId="33" borderId="0" xfId="0" applyFont="1" applyFill="1" applyAlignment="1">
      <alignment horizontal="left" wrapText="1"/>
    </xf>
    <xf numFmtId="0" fontId="6" fillId="33" borderId="0" xfId="0" applyFont="1" applyFill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19">
      <selection activeCell="E28" sqref="E28"/>
    </sheetView>
  </sheetViews>
  <sheetFormatPr defaultColWidth="11.00390625" defaultRowHeight="12.75"/>
  <cols>
    <col min="1" max="1" width="30.8515625" style="3" customWidth="1"/>
    <col min="2" max="2" width="5.7109375" style="3" customWidth="1"/>
    <col min="3" max="3" width="8.00390625" style="3" customWidth="1"/>
    <col min="4" max="4" width="7.421875" style="3" customWidth="1"/>
    <col min="5" max="5" width="8.8515625" style="3" customWidth="1"/>
    <col min="6" max="6" width="12.28125" style="3" customWidth="1"/>
    <col min="7" max="7" width="11.421875" style="3" customWidth="1"/>
    <col min="8" max="8" width="8.57421875" style="3" customWidth="1"/>
    <col min="9" max="9" width="11.140625" style="3" customWidth="1"/>
    <col min="10" max="10" width="11.7109375" style="3" customWidth="1"/>
    <col min="11" max="11" width="14.140625" style="3" customWidth="1"/>
    <col min="12" max="12" width="12.7109375" style="3" customWidth="1"/>
    <col min="13" max="16384" width="11.00390625" style="3" customWidth="1"/>
  </cols>
  <sheetData>
    <row r="1" spans="1:12" s="62" customFormat="1" ht="6.7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</row>
    <row r="2" spans="1:12" s="1" customFormat="1" ht="15.7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s="1" customFormat="1" ht="15.75">
      <c r="A3" s="98" t="s">
        <v>62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s="1" customFormat="1" ht="4.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s="1" customFormat="1" ht="15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1" s="2" customFormat="1" ht="3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ht="8.25" customHeight="1">
      <c r="A7" s="79"/>
      <c r="B7" s="80"/>
      <c r="C7" s="80"/>
      <c r="D7" s="80"/>
      <c r="E7" s="81"/>
      <c r="F7" s="81"/>
      <c r="G7" s="81"/>
      <c r="H7" s="81"/>
      <c r="I7" s="99" t="s">
        <v>34</v>
      </c>
      <c r="J7" s="81"/>
      <c r="K7" s="80"/>
      <c r="L7" s="95" t="s">
        <v>33</v>
      </c>
    </row>
    <row r="8" spans="1:12" ht="14.25" customHeight="1">
      <c r="A8" s="82" t="s">
        <v>1</v>
      </c>
      <c r="B8" s="83"/>
      <c r="C8" s="83"/>
      <c r="D8" s="83"/>
      <c r="E8" s="84" t="s">
        <v>2</v>
      </c>
      <c r="F8" s="84" t="s">
        <v>3</v>
      </c>
      <c r="G8" s="84" t="s">
        <v>4</v>
      </c>
      <c r="H8" s="84" t="s">
        <v>5</v>
      </c>
      <c r="I8" s="100"/>
      <c r="J8" s="84" t="s">
        <v>6</v>
      </c>
      <c r="K8" s="84" t="s">
        <v>7</v>
      </c>
      <c r="L8" s="96"/>
    </row>
    <row r="9" spans="1:12" ht="30" customHeight="1" thickBot="1">
      <c r="A9" s="85"/>
      <c r="B9" s="86" t="s">
        <v>8</v>
      </c>
      <c r="C9" s="86" t="s">
        <v>32</v>
      </c>
      <c r="D9" s="86" t="s">
        <v>9</v>
      </c>
      <c r="E9" s="86" t="s">
        <v>10</v>
      </c>
      <c r="F9" s="86" t="s">
        <v>7</v>
      </c>
      <c r="G9" s="86" t="s">
        <v>7</v>
      </c>
      <c r="H9" s="86" t="s">
        <v>7</v>
      </c>
      <c r="I9" s="101"/>
      <c r="J9" s="86" t="s">
        <v>7</v>
      </c>
      <c r="K9" s="86" t="s">
        <v>11</v>
      </c>
      <c r="L9" s="97"/>
    </row>
    <row r="10" spans="1:12" ht="2.25" customHeight="1">
      <c r="A10" s="7"/>
      <c r="B10" s="8"/>
      <c r="C10" s="8"/>
      <c r="D10" s="8"/>
      <c r="E10" s="9"/>
      <c r="F10" s="9"/>
      <c r="G10" s="9"/>
      <c r="H10" s="9"/>
      <c r="I10" s="9"/>
      <c r="J10" s="9"/>
      <c r="K10" s="9"/>
      <c r="L10" s="10"/>
    </row>
    <row r="11" spans="1:12" ht="18" customHeight="1">
      <c r="A11" s="17" t="s">
        <v>12</v>
      </c>
      <c r="B11" s="18"/>
      <c r="C11" s="19"/>
      <c r="D11" s="20"/>
      <c r="E11" s="19"/>
      <c r="F11" s="21">
        <f>SUM(F12:F19)</f>
        <v>545.7370133333334</v>
      </c>
      <c r="G11" s="21">
        <f aca="true" t="shared" si="0" ref="G11:L11">SUM(G12:G19)</f>
        <v>157.08526666666668</v>
      </c>
      <c r="H11" s="21">
        <f t="shared" si="0"/>
        <v>272.06469333333337</v>
      </c>
      <c r="I11" s="21">
        <f t="shared" si="0"/>
        <v>974.8869733333335</v>
      </c>
      <c r="J11" s="21">
        <f t="shared" si="0"/>
        <v>2377.4716933333334</v>
      </c>
      <c r="K11" s="21">
        <f t="shared" si="0"/>
        <v>3352.358666666667</v>
      </c>
      <c r="L11" s="22">
        <f t="shared" si="0"/>
        <v>0.34627902804635624</v>
      </c>
    </row>
    <row r="12" spans="1:14" ht="12.75">
      <c r="A12" s="23" t="s">
        <v>42</v>
      </c>
      <c r="B12" s="24"/>
      <c r="C12" s="25">
        <v>10</v>
      </c>
      <c r="D12" s="26" t="s">
        <v>13</v>
      </c>
      <c r="E12" s="27">
        <v>35</v>
      </c>
      <c r="F12" s="27">
        <f>(E12*C12)</f>
        <v>350</v>
      </c>
      <c r="G12" s="19"/>
      <c r="H12" s="19"/>
      <c r="I12" s="28">
        <f>SUM(F12:H12)</f>
        <v>350</v>
      </c>
      <c r="J12" s="19"/>
      <c r="K12" s="27">
        <f>(E12*C12)</f>
        <v>350</v>
      </c>
      <c r="L12" s="29">
        <f>K12/K$40</f>
        <v>0.03615295135968686</v>
      </c>
      <c r="N12" s="13"/>
    </row>
    <row r="13" spans="1:14" ht="12.75">
      <c r="A13" s="23" t="s">
        <v>43</v>
      </c>
      <c r="B13" s="24"/>
      <c r="C13" s="25">
        <v>2</v>
      </c>
      <c r="D13" s="26" t="s">
        <v>13</v>
      </c>
      <c r="E13" s="27">
        <v>35</v>
      </c>
      <c r="F13" s="27">
        <f>(E13*C13)</f>
        <v>70</v>
      </c>
      <c r="G13" s="19"/>
      <c r="H13" s="19"/>
      <c r="I13" s="28">
        <f aca="true" t="shared" si="1" ref="I13:I35">SUM(F13:H13)</f>
        <v>70</v>
      </c>
      <c r="J13" s="19"/>
      <c r="K13" s="27">
        <f>(E13*C13)</f>
        <v>70</v>
      </c>
      <c r="L13" s="29">
        <f>K13/K$40</f>
        <v>0.007230590271937371</v>
      </c>
      <c r="N13" s="13"/>
    </row>
    <row r="14" spans="1:14" ht="12.75">
      <c r="A14" s="23" t="s">
        <v>44</v>
      </c>
      <c r="B14" s="24"/>
      <c r="C14" s="30"/>
      <c r="D14" s="31"/>
      <c r="E14" s="27"/>
      <c r="F14" s="19"/>
      <c r="G14" s="19"/>
      <c r="H14" s="19"/>
      <c r="I14" s="28"/>
      <c r="J14" s="19"/>
      <c r="K14" s="19"/>
      <c r="L14" s="29"/>
      <c r="N14" s="13"/>
    </row>
    <row r="15" spans="1:14" ht="12.75">
      <c r="A15" s="23" t="s">
        <v>14</v>
      </c>
      <c r="B15" s="24"/>
      <c r="C15" s="32">
        <v>1</v>
      </c>
      <c r="D15" s="26" t="s">
        <v>15</v>
      </c>
      <c r="E15" s="27">
        <v>1451.6666666666667</v>
      </c>
      <c r="F15" s="27">
        <f>(K15*0.02)</f>
        <v>29.033333333333335</v>
      </c>
      <c r="G15" s="27">
        <f>(K15*0.04)</f>
        <v>58.06666666666667</v>
      </c>
      <c r="H15" s="27">
        <f>(K15*0.08)</f>
        <v>116.13333333333334</v>
      </c>
      <c r="I15" s="28">
        <f t="shared" si="1"/>
        <v>203.23333333333335</v>
      </c>
      <c r="J15" s="27">
        <f>(K15*0.86)</f>
        <v>1248.4333333333334</v>
      </c>
      <c r="K15" s="33">
        <f>(E15*C15)</f>
        <v>1451.6666666666667</v>
      </c>
      <c r="L15" s="29">
        <f>K15/K$40</f>
        <v>0.14994866968708218</v>
      </c>
      <c r="N15" s="13"/>
    </row>
    <row r="16" spans="1:14" ht="12.75">
      <c r="A16" s="23" t="s">
        <v>45</v>
      </c>
      <c r="B16" s="24"/>
      <c r="C16" s="30"/>
      <c r="D16" s="31"/>
      <c r="E16" s="27"/>
      <c r="F16" s="27"/>
      <c r="G16" s="27"/>
      <c r="H16" s="27"/>
      <c r="I16" s="28"/>
      <c r="J16" s="27"/>
      <c r="K16" s="33"/>
      <c r="L16" s="29"/>
      <c r="N16" s="13"/>
    </row>
    <row r="17" spans="1:14" ht="12.75">
      <c r="A17" s="23" t="s">
        <v>16</v>
      </c>
      <c r="B17" s="24"/>
      <c r="C17" s="34">
        <v>1.2</v>
      </c>
      <c r="D17" s="26" t="s">
        <v>17</v>
      </c>
      <c r="E17" s="33">
        <v>1041</v>
      </c>
      <c r="F17" s="27">
        <f>(K17*0.07)</f>
        <v>87.44400000000002</v>
      </c>
      <c r="G17" s="27">
        <f>(K17*0.07)</f>
        <v>87.44400000000002</v>
      </c>
      <c r="H17" s="27">
        <f>(K17*0.11)</f>
        <v>137.412</v>
      </c>
      <c r="I17" s="28">
        <f t="shared" si="1"/>
        <v>312.30000000000007</v>
      </c>
      <c r="J17" s="27">
        <f>(K17*0.75)</f>
        <v>936.9000000000001</v>
      </c>
      <c r="K17" s="33">
        <f>(E17*C17)</f>
        <v>1249.2</v>
      </c>
      <c r="L17" s="29">
        <f>K17/K$40</f>
        <v>0.1290350481100595</v>
      </c>
      <c r="N17" s="13"/>
    </row>
    <row r="18" spans="1:14" ht="12.75">
      <c r="A18" s="23" t="s">
        <v>46</v>
      </c>
      <c r="B18" s="24"/>
      <c r="C18" s="30"/>
      <c r="D18" s="31"/>
      <c r="E18" s="27"/>
      <c r="F18" s="27"/>
      <c r="G18" s="27"/>
      <c r="H18" s="27"/>
      <c r="I18" s="28"/>
      <c r="J18" s="27"/>
      <c r="K18" s="27"/>
      <c r="L18" s="29"/>
      <c r="N18" s="13"/>
    </row>
    <row r="19" spans="1:14" ht="12.75">
      <c r="A19" s="23" t="s">
        <v>18</v>
      </c>
      <c r="B19" s="24"/>
      <c r="C19" s="34">
        <v>0.6876</v>
      </c>
      <c r="D19" s="26" t="s">
        <v>19</v>
      </c>
      <c r="E19" s="27">
        <v>336.6666666666667</v>
      </c>
      <c r="F19" s="27">
        <f>(K19*0.04)</f>
        <v>9.259680000000001</v>
      </c>
      <c r="G19" s="27">
        <f>(K19*0.05)</f>
        <v>11.574600000000002</v>
      </c>
      <c r="H19" s="27">
        <f>(K19*0.08)</f>
        <v>18.519360000000002</v>
      </c>
      <c r="I19" s="28">
        <f t="shared" si="1"/>
        <v>39.353640000000006</v>
      </c>
      <c r="J19" s="27">
        <f>(K19*0.83)</f>
        <v>192.13836</v>
      </c>
      <c r="K19" s="27">
        <f>(E19*C19)</f>
        <v>231.49200000000002</v>
      </c>
      <c r="L19" s="29">
        <f>K19/K$40</f>
        <v>0.023911768617590375</v>
      </c>
      <c r="N19" s="13"/>
    </row>
    <row r="20" spans="1:14" ht="4.5" customHeight="1">
      <c r="A20" s="35"/>
      <c r="B20" s="19"/>
      <c r="C20" s="36"/>
      <c r="D20" s="31"/>
      <c r="E20" s="19"/>
      <c r="F20" s="27"/>
      <c r="G20" s="27"/>
      <c r="H20" s="27"/>
      <c r="I20" s="28"/>
      <c r="J20" s="27"/>
      <c r="K20" s="27"/>
      <c r="L20" s="29"/>
      <c r="N20" s="13"/>
    </row>
    <row r="21" spans="1:14" ht="15" customHeight="1">
      <c r="A21" s="17" t="s">
        <v>20</v>
      </c>
      <c r="B21" s="18"/>
      <c r="C21" s="36"/>
      <c r="D21" s="31"/>
      <c r="E21" s="19"/>
      <c r="F21" s="21">
        <f>SUM(F22:F24)</f>
        <v>650</v>
      </c>
      <c r="G21" s="21">
        <f aca="true" t="shared" si="2" ref="G21:L21">SUM(G22:G24)</f>
        <v>0</v>
      </c>
      <c r="H21" s="21">
        <f t="shared" si="2"/>
        <v>0</v>
      </c>
      <c r="I21" s="21">
        <f t="shared" si="2"/>
        <v>650</v>
      </c>
      <c r="J21" s="21">
        <f t="shared" si="2"/>
        <v>0</v>
      </c>
      <c r="K21" s="21">
        <f t="shared" si="2"/>
        <v>650</v>
      </c>
      <c r="L21" s="22">
        <f t="shared" si="2"/>
        <v>0.06714119538227559</v>
      </c>
      <c r="N21" s="13"/>
    </row>
    <row r="22" spans="1:14" ht="12.75">
      <c r="A22" s="23" t="s">
        <v>47</v>
      </c>
      <c r="B22" s="24"/>
      <c r="C22" s="37">
        <v>1</v>
      </c>
      <c r="D22" s="26" t="s">
        <v>21</v>
      </c>
      <c r="E22" s="27">
        <v>250</v>
      </c>
      <c r="F22" s="27">
        <f>E22*C22</f>
        <v>250</v>
      </c>
      <c r="G22" s="38" t="s">
        <v>22</v>
      </c>
      <c r="H22" s="39" t="s">
        <v>22</v>
      </c>
      <c r="I22" s="28">
        <f t="shared" si="1"/>
        <v>250</v>
      </c>
      <c r="J22" s="39" t="s">
        <v>22</v>
      </c>
      <c r="K22" s="27">
        <f>(E22*C22)</f>
        <v>250</v>
      </c>
      <c r="L22" s="29">
        <f>K22/K$40</f>
        <v>0.025823536685490613</v>
      </c>
      <c r="N22" s="13"/>
    </row>
    <row r="23" spans="1:14" ht="12.75">
      <c r="A23" s="23" t="s">
        <v>48</v>
      </c>
      <c r="B23" s="24"/>
      <c r="C23" s="37">
        <v>1</v>
      </c>
      <c r="D23" s="26" t="s">
        <v>21</v>
      </c>
      <c r="E23" s="27">
        <v>200</v>
      </c>
      <c r="F23" s="27">
        <f>E23*C23</f>
        <v>200</v>
      </c>
      <c r="G23" s="38" t="s">
        <v>22</v>
      </c>
      <c r="H23" s="39" t="s">
        <v>22</v>
      </c>
      <c r="I23" s="28">
        <f t="shared" si="1"/>
        <v>200</v>
      </c>
      <c r="J23" s="39" t="s">
        <v>22</v>
      </c>
      <c r="K23" s="27">
        <f>(E23*C23)</f>
        <v>200</v>
      </c>
      <c r="L23" s="29">
        <f>K23/K$40</f>
        <v>0.020658829348392492</v>
      </c>
      <c r="N23" s="13"/>
    </row>
    <row r="24" spans="1:14" ht="12.75">
      <c r="A24" s="23" t="s">
        <v>49</v>
      </c>
      <c r="B24" s="24"/>
      <c r="C24" s="37">
        <v>1</v>
      </c>
      <c r="D24" s="26" t="s">
        <v>21</v>
      </c>
      <c r="E24" s="27">
        <v>200</v>
      </c>
      <c r="F24" s="27">
        <f>E24*C24</f>
        <v>200</v>
      </c>
      <c r="G24" s="38" t="s">
        <v>22</v>
      </c>
      <c r="H24" s="39" t="s">
        <v>22</v>
      </c>
      <c r="I24" s="28">
        <f t="shared" si="1"/>
        <v>200</v>
      </c>
      <c r="J24" s="39" t="s">
        <v>22</v>
      </c>
      <c r="K24" s="27">
        <f>(E24*C24)</f>
        <v>200</v>
      </c>
      <c r="L24" s="29">
        <f>K24/K$40</f>
        <v>0.020658829348392492</v>
      </c>
      <c r="N24" s="13"/>
    </row>
    <row r="25" spans="1:14" ht="3" customHeight="1">
      <c r="A25" s="35"/>
      <c r="B25" s="19"/>
      <c r="C25" s="36"/>
      <c r="D25" s="31"/>
      <c r="E25" s="19"/>
      <c r="F25" s="27"/>
      <c r="G25" s="27"/>
      <c r="H25" s="27"/>
      <c r="I25" s="28">
        <f t="shared" si="1"/>
        <v>0</v>
      </c>
      <c r="J25" s="27"/>
      <c r="K25" s="27"/>
      <c r="L25" s="29">
        <f>K25/K$40</f>
        <v>0</v>
      </c>
      <c r="N25" s="13"/>
    </row>
    <row r="26" spans="1:14" ht="15" customHeight="1">
      <c r="A26" s="17" t="s">
        <v>23</v>
      </c>
      <c r="B26" s="18"/>
      <c r="C26" s="36"/>
      <c r="D26" s="31"/>
      <c r="E26" s="19"/>
      <c r="F26" s="21">
        <f>SUM(F27:F35)</f>
        <v>565.7437500000001</v>
      </c>
      <c r="G26" s="21">
        <f aca="true" t="shared" si="3" ref="G26:L26">SUM(G27:G35)</f>
        <v>295.277</v>
      </c>
      <c r="H26" s="21">
        <f t="shared" si="3"/>
        <v>400.017</v>
      </c>
      <c r="I26" s="21">
        <f t="shared" si="3"/>
        <v>1261.0377500000002</v>
      </c>
      <c r="J26" s="21">
        <f t="shared" si="3"/>
        <v>3523.25475</v>
      </c>
      <c r="K26" s="21">
        <f t="shared" si="3"/>
        <v>4785.85</v>
      </c>
      <c r="L26" s="22">
        <f t="shared" si="3"/>
        <v>0.494350292185021</v>
      </c>
      <c r="N26" s="13"/>
    </row>
    <row r="27" spans="1:14" ht="12.75">
      <c r="A27" s="23" t="s">
        <v>50</v>
      </c>
      <c r="B27" s="24"/>
      <c r="C27" s="37">
        <v>0.25</v>
      </c>
      <c r="D27" s="26" t="s">
        <v>24</v>
      </c>
      <c r="E27" s="27">
        <v>500</v>
      </c>
      <c r="F27" s="27">
        <f>(E27*C27)</f>
        <v>125</v>
      </c>
      <c r="G27" s="39" t="s">
        <v>22</v>
      </c>
      <c r="H27" s="39" t="s">
        <v>22</v>
      </c>
      <c r="I27" s="28">
        <f t="shared" si="1"/>
        <v>125</v>
      </c>
      <c r="J27" s="39" t="s">
        <v>22</v>
      </c>
      <c r="K27" s="27">
        <f aca="true" t="shared" si="4" ref="K27:K35">(E27*C27)</f>
        <v>125</v>
      </c>
      <c r="L27" s="29">
        <f aca="true" t="shared" si="5" ref="L27:L35">K27/K$40</f>
        <v>0.012911768342745307</v>
      </c>
      <c r="N27" s="13"/>
    </row>
    <row r="28" spans="1:14" ht="12.75">
      <c r="A28" s="23" t="s">
        <v>52</v>
      </c>
      <c r="B28" s="26"/>
      <c r="C28" s="37">
        <v>0.226</v>
      </c>
      <c r="D28" s="26" t="s">
        <v>24</v>
      </c>
      <c r="E28" s="27">
        <f>+E27</f>
        <v>500</v>
      </c>
      <c r="F28" s="27">
        <v>3.4</v>
      </c>
      <c r="G28" s="39" t="s">
        <v>22</v>
      </c>
      <c r="H28" s="27">
        <f>(K28*0.85)</f>
        <v>96.05</v>
      </c>
      <c r="I28" s="28">
        <f t="shared" si="1"/>
        <v>99.45</v>
      </c>
      <c r="J28" s="39">
        <f>K28-I28</f>
        <v>13.549999999999997</v>
      </c>
      <c r="K28" s="27">
        <f t="shared" si="4"/>
        <v>113</v>
      </c>
      <c r="L28" s="29">
        <f t="shared" si="5"/>
        <v>0.011672238581841757</v>
      </c>
      <c r="N28" s="13"/>
    </row>
    <row r="29" spans="1:14" ht="12.75">
      <c r="A29" s="23" t="s">
        <v>51</v>
      </c>
      <c r="B29" s="26" t="s">
        <v>25</v>
      </c>
      <c r="C29" s="37">
        <v>0.5</v>
      </c>
      <c r="D29" s="26" t="s">
        <v>24</v>
      </c>
      <c r="E29" s="27">
        <f aca="true" t="shared" si="6" ref="E29:E35">+E28</f>
        <v>500</v>
      </c>
      <c r="F29" s="27">
        <f>(E29*C29)</f>
        <v>250</v>
      </c>
      <c r="G29" s="39" t="s">
        <v>22</v>
      </c>
      <c r="H29" s="39" t="s">
        <v>22</v>
      </c>
      <c r="I29" s="28">
        <f t="shared" si="1"/>
        <v>250</v>
      </c>
      <c r="J29" s="39" t="s">
        <v>22</v>
      </c>
      <c r="K29" s="27">
        <f t="shared" si="4"/>
        <v>250</v>
      </c>
      <c r="L29" s="29">
        <f t="shared" si="5"/>
        <v>0.025823536685490613</v>
      </c>
      <c r="N29" s="13"/>
    </row>
    <row r="30" spans="1:14" ht="12.75">
      <c r="A30" s="23" t="s">
        <v>53</v>
      </c>
      <c r="B30" s="26"/>
      <c r="C30" s="37">
        <v>0.112</v>
      </c>
      <c r="D30" s="26" t="s">
        <v>24</v>
      </c>
      <c r="E30" s="27">
        <f t="shared" si="6"/>
        <v>500</v>
      </c>
      <c r="F30" s="39" t="s">
        <v>22</v>
      </c>
      <c r="G30" s="27">
        <f>(E30*C30)</f>
        <v>56</v>
      </c>
      <c r="H30" s="39" t="s">
        <v>22</v>
      </c>
      <c r="I30" s="28">
        <f t="shared" si="1"/>
        <v>56</v>
      </c>
      <c r="J30" s="27"/>
      <c r="K30" s="27">
        <f t="shared" si="4"/>
        <v>56</v>
      </c>
      <c r="L30" s="29">
        <f t="shared" si="5"/>
        <v>0.005784472217549897</v>
      </c>
      <c r="M30" s="13"/>
      <c r="N30" s="13"/>
    </row>
    <row r="31" spans="1:14" ht="12.75">
      <c r="A31" s="23" t="s">
        <v>54</v>
      </c>
      <c r="B31" s="26" t="s">
        <v>26</v>
      </c>
      <c r="C31" s="37">
        <v>1.246</v>
      </c>
      <c r="D31" s="26" t="s">
        <v>24</v>
      </c>
      <c r="E31" s="27">
        <f t="shared" si="6"/>
        <v>500</v>
      </c>
      <c r="F31" s="27">
        <v>14.017500000000032</v>
      </c>
      <c r="G31" s="27">
        <f>(K31*0.042)</f>
        <v>26.166</v>
      </c>
      <c r="H31" s="27">
        <f>(K31*0.073)</f>
        <v>45.479</v>
      </c>
      <c r="I31" s="28">
        <f>SUM(F31:H31)</f>
        <v>85.66250000000002</v>
      </c>
      <c r="J31" s="27">
        <f>(K31*0.86)</f>
        <v>535.78</v>
      </c>
      <c r="K31" s="27">
        <f t="shared" si="4"/>
        <v>623</v>
      </c>
      <c r="L31" s="29">
        <f t="shared" si="5"/>
        <v>0.0643522534202426</v>
      </c>
      <c r="N31" s="13"/>
    </row>
    <row r="32" spans="1:14" ht="12.75">
      <c r="A32" s="23" t="s">
        <v>55</v>
      </c>
      <c r="B32" s="26" t="s">
        <v>27</v>
      </c>
      <c r="C32" s="37">
        <v>1.068</v>
      </c>
      <c r="D32" s="26" t="s">
        <v>24</v>
      </c>
      <c r="E32" s="27">
        <f t="shared" si="6"/>
        <v>500</v>
      </c>
      <c r="F32" s="27">
        <f>(K32*0.047)</f>
        <v>25.098</v>
      </c>
      <c r="G32" s="27">
        <f>(K32*0.05)</f>
        <v>26.700000000000003</v>
      </c>
      <c r="H32" s="27">
        <f>(K32*0.094)</f>
        <v>50.196</v>
      </c>
      <c r="I32" s="28">
        <f t="shared" si="1"/>
        <v>101.994</v>
      </c>
      <c r="J32" s="27">
        <f>(K32*0.809)</f>
        <v>432.00600000000003</v>
      </c>
      <c r="K32" s="27">
        <f t="shared" si="4"/>
        <v>534</v>
      </c>
      <c r="L32" s="29">
        <f t="shared" si="5"/>
        <v>0.05515907436020795</v>
      </c>
      <c r="N32" s="13"/>
    </row>
    <row r="33" spans="1:14" ht="12.75">
      <c r="A33" s="23" t="s">
        <v>56</v>
      </c>
      <c r="B33" s="26" t="s">
        <v>28</v>
      </c>
      <c r="C33" s="37">
        <v>1.512</v>
      </c>
      <c r="D33" s="26" t="s">
        <v>24</v>
      </c>
      <c r="E33" s="27">
        <f t="shared" si="6"/>
        <v>500</v>
      </c>
      <c r="F33" s="27">
        <f>(K33*0.046)</f>
        <v>34.775999999999996</v>
      </c>
      <c r="G33" s="27">
        <f>(K33*0.046)</f>
        <v>34.775999999999996</v>
      </c>
      <c r="H33" s="27">
        <f>(K33*0.047)</f>
        <v>35.532000000000004</v>
      </c>
      <c r="I33" s="28">
        <f t="shared" si="1"/>
        <v>105.084</v>
      </c>
      <c r="J33" s="27">
        <f>(K33*0.861)</f>
        <v>650.9159999999999</v>
      </c>
      <c r="K33" s="27">
        <f t="shared" si="4"/>
        <v>756</v>
      </c>
      <c r="L33" s="29">
        <f t="shared" si="5"/>
        <v>0.07809037493692361</v>
      </c>
      <c r="N33" s="13"/>
    </row>
    <row r="34" spans="1:14" ht="13.5">
      <c r="A34" s="23" t="s">
        <v>57</v>
      </c>
      <c r="B34" s="26" t="s">
        <v>29</v>
      </c>
      <c r="C34" s="40">
        <v>1.4077</v>
      </c>
      <c r="D34" s="26" t="s">
        <v>24</v>
      </c>
      <c r="E34" s="27">
        <f t="shared" si="6"/>
        <v>500</v>
      </c>
      <c r="F34" s="27">
        <f>(K34*0.085)</f>
        <v>59.82725000000001</v>
      </c>
      <c r="G34" s="27">
        <f>(K34*0.1)</f>
        <v>70.385</v>
      </c>
      <c r="H34" s="27">
        <f>(K34*0.1)</f>
        <v>70.385</v>
      </c>
      <c r="I34" s="28">
        <f t="shared" si="1"/>
        <v>200.59725000000003</v>
      </c>
      <c r="J34" s="27">
        <f>(K34*0.715)</f>
        <v>503.25275</v>
      </c>
      <c r="K34" s="27">
        <f t="shared" si="4"/>
        <v>703.85</v>
      </c>
      <c r="L34" s="29">
        <f t="shared" si="5"/>
        <v>0.07270358518433027</v>
      </c>
      <c r="N34" s="13"/>
    </row>
    <row r="35" spans="1:14" ht="12.75">
      <c r="A35" s="23" t="s">
        <v>58</v>
      </c>
      <c r="B35" s="26"/>
      <c r="C35" s="37">
        <v>3.25</v>
      </c>
      <c r="D35" s="26" t="s">
        <v>24</v>
      </c>
      <c r="E35" s="27">
        <f t="shared" si="6"/>
        <v>500</v>
      </c>
      <c r="F35" s="27">
        <f>(K35*0.033)</f>
        <v>53.625</v>
      </c>
      <c r="G35" s="27">
        <f>(K35*0.05)</f>
        <v>81.25</v>
      </c>
      <c r="H35" s="27">
        <f>(K35*0.063)</f>
        <v>102.375</v>
      </c>
      <c r="I35" s="28">
        <f t="shared" si="1"/>
        <v>237.25</v>
      </c>
      <c r="J35" s="27">
        <f>(K35*0.854)</f>
        <v>1387.75</v>
      </c>
      <c r="K35" s="27">
        <f t="shared" si="4"/>
        <v>1625</v>
      </c>
      <c r="L35" s="29">
        <f t="shared" si="5"/>
        <v>0.167852988455689</v>
      </c>
      <c r="N35" s="13"/>
    </row>
    <row r="36" spans="1:12" ht="8.25" customHeight="1" thickBot="1">
      <c r="A36" s="41"/>
      <c r="B36" s="42"/>
      <c r="C36" s="43"/>
      <c r="D36" s="42"/>
      <c r="E36" s="44"/>
      <c r="F36" s="45"/>
      <c r="G36" s="45"/>
      <c r="H36" s="44"/>
      <c r="I36" s="44"/>
      <c r="J36" s="44"/>
      <c r="K36" s="44"/>
      <c r="L36" s="46"/>
    </row>
    <row r="37" spans="1:13" s="11" customFormat="1" ht="15.75" customHeight="1">
      <c r="A37" s="47" t="s">
        <v>30</v>
      </c>
      <c r="B37" s="48"/>
      <c r="C37" s="49"/>
      <c r="D37" s="49"/>
      <c r="E37" s="49"/>
      <c r="F37" s="50">
        <f aca="true" t="shared" si="7" ref="F37:K37">F11+F21+F26</f>
        <v>1761.4807633333335</v>
      </c>
      <c r="G37" s="51">
        <f t="shared" si="7"/>
        <v>452.36226666666664</v>
      </c>
      <c r="H37" s="51">
        <f t="shared" si="7"/>
        <v>672.0816933333333</v>
      </c>
      <c r="I37" s="51">
        <f t="shared" si="7"/>
        <v>2885.9247233333335</v>
      </c>
      <c r="J37" s="51">
        <f t="shared" si="7"/>
        <v>5900.726443333333</v>
      </c>
      <c r="K37" s="52">
        <f t="shared" si="7"/>
        <v>8788.208666666667</v>
      </c>
      <c r="L37" s="74">
        <f>L11+L21+L26</f>
        <v>0.9077705156136529</v>
      </c>
      <c r="M37" s="75"/>
    </row>
    <row r="38" spans="1:13" s="11" customFormat="1" ht="15" customHeight="1">
      <c r="A38" s="53" t="s">
        <v>60</v>
      </c>
      <c r="B38" s="54"/>
      <c r="C38" s="55"/>
      <c r="D38" s="55"/>
      <c r="E38" s="55"/>
      <c r="F38" s="56">
        <f aca="true" t="shared" si="8" ref="F38:K38">(F37*0.02)</f>
        <v>35.22961526666667</v>
      </c>
      <c r="G38" s="56">
        <f t="shared" si="8"/>
        <v>9.047245333333333</v>
      </c>
      <c r="H38" s="56">
        <f t="shared" si="8"/>
        <v>13.441633866666667</v>
      </c>
      <c r="I38" s="56">
        <f t="shared" si="8"/>
        <v>57.71849446666667</v>
      </c>
      <c r="J38" s="56">
        <f t="shared" si="8"/>
        <v>118.01452886666667</v>
      </c>
      <c r="K38" s="57">
        <f t="shared" si="8"/>
        <v>175.76417333333336</v>
      </c>
      <c r="L38" s="29">
        <f>K38/K$40</f>
        <v>0.01815541031227306</v>
      </c>
      <c r="M38" s="76">
        <f>+K38+K39</f>
        <v>892.8820005333334</v>
      </c>
    </row>
    <row r="39" spans="1:13" s="11" customFormat="1" ht="15" customHeight="1">
      <c r="A39" s="53" t="s">
        <v>61</v>
      </c>
      <c r="B39" s="54"/>
      <c r="C39" s="55"/>
      <c r="D39" s="55"/>
      <c r="E39" s="55"/>
      <c r="F39" s="56">
        <f aca="true" t="shared" si="9" ref="F39:K39">SUM(F37:F38)*0.08</f>
        <v>143.73683028800002</v>
      </c>
      <c r="G39" s="56">
        <f t="shared" si="9"/>
        <v>36.91276096</v>
      </c>
      <c r="H39" s="56">
        <f t="shared" si="9"/>
        <v>54.841866175999996</v>
      </c>
      <c r="I39" s="56">
        <f t="shared" si="9"/>
        <v>235.491457424</v>
      </c>
      <c r="J39" s="56">
        <f t="shared" si="9"/>
        <v>481.49927777599993</v>
      </c>
      <c r="K39" s="57">
        <f t="shared" si="9"/>
        <v>717.1178272000001</v>
      </c>
      <c r="L39" s="29">
        <f>K39/K$40</f>
        <v>0.07407407407407408</v>
      </c>
      <c r="M39" s="75"/>
    </row>
    <row r="40" spans="1:13" s="12" customFormat="1" ht="24" customHeight="1" thickBot="1">
      <c r="A40" s="87" t="s">
        <v>31</v>
      </c>
      <c r="B40" s="88"/>
      <c r="C40" s="89"/>
      <c r="D40" s="89"/>
      <c r="E40" s="89"/>
      <c r="F40" s="90">
        <f aca="true" t="shared" si="10" ref="F40:K40">SUM(F37:F39)</f>
        <v>1940.4472088880002</v>
      </c>
      <c r="G40" s="91">
        <f t="shared" si="10"/>
        <v>498.32227295999996</v>
      </c>
      <c r="H40" s="91">
        <f t="shared" si="10"/>
        <v>740.365193376</v>
      </c>
      <c r="I40" s="91">
        <f t="shared" si="10"/>
        <v>3179.134675224</v>
      </c>
      <c r="J40" s="91">
        <f t="shared" si="10"/>
        <v>6500.240249975999</v>
      </c>
      <c r="K40" s="92">
        <f t="shared" si="10"/>
        <v>9681.0906672</v>
      </c>
      <c r="L40" s="93">
        <f>SUM(L37:L39)</f>
        <v>1</v>
      </c>
      <c r="M40" s="77"/>
    </row>
    <row r="41" spans="1:12" ht="15" customHeight="1">
      <c r="A41" s="106" t="s">
        <v>38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</row>
    <row r="42" spans="1:12" ht="39.75" customHeight="1">
      <c r="A42" s="105" t="s">
        <v>63</v>
      </c>
      <c r="B42" s="105"/>
      <c r="C42" s="105"/>
      <c r="D42" s="105"/>
      <c r="E42" s="105"/>
      <c r="F42" s="105"/>
      <c r="G42" s="105"/>
      <c r="H42" s="105"/>
      <c r="I42" s="105"/>
      <c r="J42" s="105"/>
      <c r="K42" s="56"/>
      <c r="L42" s="63"/>
    </row>
    <row r="43" spans="1:14" s="14" customFormat="1" ht="13.5" customHeight="1">
      <c r="A43" s="102" t="s">
        <v>39</v>
      </c>
      <c r="B43" s="102"/>
      <c r="C43" s="102"/>
      <c r="D43" s="102"/>
      <c r="E43" s="102"/>
      <c r="F43" s="102"/>
      <c r="G43" s="102"/>
      <c r="H43" s="102"/>
      <c r="I43" s="102"/>
      <c r="J43" s="102"/>
      <c r="K43" s="64"/>
      <c r="L43" s="65"/>
      <c r="M43" s="15"/>
      <c r="N43" s="16"/>
    </row>
    <row r="44" spans="1:12" s="14" customFormat="1" ht="15" customHeight="1">
      <c r="A44" s="103" t="s">
        <v>35</v>
      </c>
      <c r="B44" s="103"/>
      <c r="C44" s="103"/>
      <c r="D44" s="103"/>
      <c r="E44" s="103"/>
      <c r="F44" s="103"/>
      <c r="G44" s="103"/>
      <c r="H44" s="103"/>
      <c r="I44" s="103"/>
      <c r="J44" s="103"/>
      <c r="K44" s="66"/>
      <c r="L44" s="65"/>
    </row>
    <row r="45" spans="1:12" s="14" customFormat="1" ht="12" customHeight="1">
      <c r="A45" s="64" t="s">
        <v>37</v>
      </c>
      <c r="B45" s="64"/>
      <c r="C45" s="67"/>
      <c r="D45" s="68"/>
      <c r="E45" s="64"/>
      <c r="F45" s="64"/>
      <c r="G45" s="67"/>
      <c r="H45" s="68"/>
      <c r="I45" s="69"/>
      <c r="J45" s="70">
        <v>600</v>
      </c>
      <c r="K45" s="71">
        <v>1000</v>
      </c>
      <c r="L45" s="65"/>
    </row>
    <row r="46" spans="1:12" s="14" customFormat="1" ht="13.5" customHeight="1">
      <c r="A46" s="104" t="s">
        <v>36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72"/>
    </row>
    <row r="47" spans="1:12" s="14" customFormat="1" ht="18" customHeight="1">
      <c r="A47" s="64" t="s">
        <v>41</v>
      </c>
      <c r="B47" s="64"/>
      <c r="C47" s="64"/>
      <c r="D47" s="64"/>
      <c r="E47" s="64"/>
      <c r="F47" s="64"/>
      <c r="G47" s="64"/>
      <c r="H47" s="64"/>
      <c r="I47" s="64"/>
      <c r="J47" s="73"/>
      <c r="K47" s="64"/>
      <c r="L47" s="65"/>
    </row>
    <row r="48" spans="1:12" s="14" customFormat="1" ht="13.5">
      <c r="A48" s="64" t="s">
        <v>40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5"/>
    </row>
    <row r="49" spans="1:12" ht="4.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</row>
    <row r="50" spans="1:12" ht="13.5" customHeight="1">
      <c r="A50" s="94" t="s">
        <v>59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</row>
    <row r="51" spans="1:12" ht="12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</row>
    <row r="52" spans="1:12" ht="12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</row>
    <row r="53" spans="1:12" ht="12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</row>
    <row r="54" spans="1:12" ht="12.7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</row>
    <row r="55" spans="1:12" ht="12.7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</row>
    <row r="59" spans="3:5" ht="12.75">
      <c r="C59" s="4"/>
      <c r="E59" s="4"/>
    </row>
    <row r="60" spans="3:5" ht="12.75">
      <c r="C60" s="4"/>
      <c r="E60" s="4"/>
    </row>
    <row r="61" ht="12.75">
      <c r="E61" s="4"/>
    </row>
    <row r="62" spans="5:11" ht="12.75">
      <c r="E62" s="4"/>
      <c r="F62" s="4"/>
      <c r="G62" s="4"/>
      <c r="H62" s="4"/>
      <c r="I62" s="4"/>
      <c r="J62" s="4"/>
      <c r="K62" s="4"/>
    </row>
    <row r="63" spans="5:11" ht="12.75">
      <c r="E63" s="4"/>
      <c r="F63" s="4"/>
      <c r="G63" s="4"/>
      <c r="H63" s="4"/>
      <c r="I63" s="4"/>
      <c r="J63" s="4"/>
      <c r="K63" s="4"/>
    </row>
    <row r="64" spans="5:11" ht="12.75">
      <c r="E64" s="4"/>
      <c r="F64" s="4"/>
      <c r="G64" s="4"/>
      <c r="H64" s="4"/>
      <c r="I64" s="4"/>
      <c r="J64" s="4"/>
      <c r="K64" s="4"/>
    </row>
    <row r="65" spans="5:11" ht="12.75">
      <c r="E65" s="4"/>
      <c r="F65" s="4"/>
      <c r="G65" s="4"/>
      <c r="H65" s="4"/>
      <c r="I65" s="4"/>
      <c r="J65" s="4"/>
      <c r="K65" s="4"/>
    </row>
    <row r="66" spans="5:11" ht="12.75">
      <c r="E66" s="4"/>
      <c r="F66" s="4"/>
      <c r="G66" s="4"/>
      <c r="H66" s="4"/>
      <c r="I66" s="4"/>
      <c r="J66" s="4"/>
      <c r="K66" s="4"/>
    </row>
    <row r="67" spans="5:11" ht="12.75">
      <c r="E67" s="4"/>
      <c r="F67" s="4"/>
      <c r="G67" s="4"/>
      <c r="H67" s="4"/>
      <c r="I67" s="4"/>
      <c r="J67" s="4"/>
      <c r="K67" s="4"/>
    </row>
    <row r="68" spans="5:11" ht="12.75">
      <c r="E68" s="4"/>
      <c r="F68" s="4"/>
      <c r="G68" s="4"/>
      <c r="H68" s="4"/>
      <c r="I68" s="4"/>
      <c r="J68" s="4"/>
      <c r="K68" s="4"/>
    </row>
    <row r="69" spans="3:11" ht="12.75">
      <c r="C69" s="5"/>
      <c r="E69" s="4"/>
      <c r="F69" s="4"/>
      <c r="G69" s="4"/>
      <c r="H69" s="4"/>
      <c r="I69" s="4"/>
      <c r="J69" s="4"/>
      <c r="K69" s="4"/>
    </row>
    <row r="70" spans="3:11" ht="12.75">
      <c r="C70" s="5"/>
      <c r="E70" s="4"/>
      <c r="F70" s="4"/>
      <c r="G70" s="4"/>
      <c r="H70" s="4"/>
      <c r="I70" s="4"/>
      <c r="J70" s="4"/>
      <c r="K70" s="4"/>
    </row>
    <row r="71" spans="3:11" ht="12.75">
      <c r="C71" s="5"/>
      <c r="E71" s="4"/>
      <c r="F71" s="4"/>
      <c r="G71" s="4"/>
      <c r="H71" s="4"/>
      <c r="I71" s="4"/>
      <c r="J71" s="4"/>
      <c r="K71" s="4"/>
    </row>
    <row r="72" spans="5:11" ht="12.75">
      <c r="E72" s="4"/>
      <c r="F72" s="4"/>
      <c r="G72" s="4"/>
      <c r="H72" s="4"/>
      <c r="I72" s="4"/>
      <c r="J72" s="4"/>
      <c r="K72" s="4"/>
    </row>
    <row r="73" spans="5:11" ht="12.75">
      <c r="E73" s="4"/>
      <c r="F73" s="4"/>
      <c r="G73" s="4"/>
      <c r="H73" s="4"/>
      <c r="I73" s="4"/>
      <c r="J73" s="4"/>
      <c r="K73" s="4"/>
    </row>
    <row r="74" spans="3:11" ht="12.75">
      <c r="C74" s="5"/>
      <c r="E74" s="4"/>
      <c r="F74" s="4"/>
      <c r="G74" s="4"/>
      <c r="H74" s="4"/>
      <c r="I74" s="4"/>
      <c r="J74" s="4"/>
      <c r="K74" s="4"/>
    </row>
    <row r="75" spans="3:11" ht="12.75">
      <c r="C75" s="5"/>
      <c r="E75" s="4"/>
      <c r="F75" s="4"/>
      <c r="G75" s="4"/>
      <c r="H75" s="4"/>
      <c r="I75" s="4"/>
      <c r="J75" s="4"/>
      <c r="K75" s="4"/>
    </row>
    <row r="76" spans="3:11" ht="12.75">
      <c r="C76" s="5"/>
      <c r="E76" s="4"/>
      <c r="F76" s="4"/>
      <c r="G76" s="4"/>
      <c r="H76" s="4"/>
      <c r="I76" s="4"/>
      <c r="J76" s="4"/>
      <c r="K76" s="4"/>
    </row>
    <row r="77" spans="3:11" ht="12.75">
      <c r="C77" s="5"/>
      <c r="E77" s="4"/>
      <c r="F77" s="4"/>
      <c r="G77" s="4"/>
      <c r="H77" s="4"/>
      <c r="I77" s="4"/>
      <c r="J77" s="4"/>
      <c r="K77" s="4"/>
    </row>
    <row r="78" spans="3:11" ht="12.75">
      <c r="C78" s="5"/>
      <c r="E78" s="4"/>
      <c r="F78" s="4"/>
      <c r="G78" s="4"/>
      <c r="H78" s="4"/>
      <c r="I78" s="4"/>
      <c r="J78" s="4"/>
      <c r="K78" s="4"/>
    </row>
    <row r="79" spans="3:11" ht="12.75">
      <c r="C79" s="5"/>
      <c r="E79" s="4"/>
      <c r="F79" s="4"/>
      <c r="G79" s="4"/>
      <c r="H79" s="4"/>
      <c r="I79" s="4"/>
      <c r="J79" s="4"/>
      <c r="K79" s="4"/>
    </row>
    <row r="80" spans="3:11" ht="12.75">
      <c r="C80" s="5"/>
      <c r="E80" s="4"/>
      <c r="F80" s="4"/>
      <c r="G80" s="4"/>
      <c r="H80" s="4"/>
      <c r="I80" s="4"/>
      <c r="J80" s="4"/>
      <c r="K80" s="4"/>
    </row>
    <row r="81" spans="3:11" ht="12.75">
      <c r="C81" s="5"/>
      <c r="E81" s="4"/>
      <c r="F81" s="4"/>
      <c r="G81" s="4"/>
      <c r="H81" s="4"/>
      <c r="I81" s="4"/>
      <c r="J81" s="4"/>
      <c r="K81" s="4"/>
    </row>
    <row r="82" spans="3:11" ht="12.75">
      <c r="C82" s="5"/>
      <c r="E82" s="4"/>
      <c r="F82" s="4"/>
      <c r="G82" s="4"/>
      <c r="H82" s="4"/>
      <c r="I82" s="4"/>
      <c r="J82" s="4"/>
      <c r="K82" s="4"/>
    </row>
    <row r="83" spans="3:11" ht="12.75">
      <c r="C83" s="5"/>
      <c r="E83" s="4"/>
      <c r="F83" s="4"/>
      <c r="G83" s="4"/>
      <c r="H83" s="4"/>
      <c r="I83" s="4"/>
      <c r="J83" s="4"/>
      <c r="K83" s="4"/>
    </row>
  </sheetData>
  <sheetProtection/>
  <mergeCells count="10">
    <mergeCell ref="A50:L50"/>
    <mergeCell ref="L7:L9"/>
    <mergeCell ref="A2:L2"/>
    <mergeCell ref="A3:L3"/>
    <mergeCell ref="I7:I9"/>
    <mergeCell ref="A43:J43"/>
    <mergeCell ref="A44:J44"/>
    <mergeCell ref="A46:K46"/>
    <mergeCell ref="A42:J42"/>
    <mergeCell ref="A41:L41"/>
  </mergeCells>
  <printOptions/>
  <pageMargins left="1.3" right="0.2362204724409449" top="0.39" bottom="0.4330708661417323" header="0.11811023622047245" footer="0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Karisovic</cp:lastModifiedBy>
  <cp:lastPrinted>2017-04-25T17:24:28Z</cp:lastPrinted>
  <dcterms:created xsi:type="dcterms:W3CDTF">2007-12-07T15:39:39Z</dcterms:created>
  <dcterms:modified xsi:type="dcterms:W3CDTF">2019-07-19T16:18:08Z</dcterms:modified>
  <cp:category/>
  <cp:version/>
  <cp:contentType/>
  <cp:contentStatus/>
</cp:coreProperties>
</file>