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'Hoja1'!$A$1:$K$44</definedName>
  </definedNames>
  <calcPr fullCalcOnLoad="1"/>
</workbook>
</file>

<file path=xl/sharedStrings.xml><?xml version="1.0" encoding="utf-8"?>
<sst xmlns="http://schemas.openxmlformats.org/spreadsheetml/2006/main" count="73" uniqueCount="57">
  <si>
    <t xml:space="preserve">  ESTIMADO DE COSTO DE PRODUCCION PARA LA EXPLOTACION DE UNA TAREA  DE  NARANJA DULCE</t>
  </si>
  <si>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</si>
  <si>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</si>
  <si>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</si>
  <si>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</si>
  <si>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</si>
  <si>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</si>
  <si>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</si>
  <si>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Cantidad</t>
  </si>
  <si>
    <t>Unidad</t>
  </si>
  <si>
    <t>Unitario</t>
  </si>
  <si>
    <t>Total</t>
  </si>
  <si>
    <t>1- INSUMOS</t>
  </si>
  <si>
    <t>Planta</t>
  </si>
  <si>
    <t xml:space="preserve">      (15-15-15)</t>
  </si>
  <si>
    <t>Quintal</t>
  </si>
  <si>
    <t>Litro</t>
  </si>
  <si>
    <t>2-  PREPARACION DEL TERRENO</t>
  </si>
  <si>
    <t>Tarea</t>
  </si>
  <si>
    <t>3-  MANO DE OBRA</t>
  </si>
  <si>
    <t>Hom-Día</t>
  </si>
  <si>
    <t xml:space="preserve">  SUBTOTAL </t>
  </si>
  <si>
    <t xml:space="preserve">  GASTOS ADMINISTRATIVOS (2%)</t>
  </si>
  <si>
    <t xml:space="preserve">  TOTAL GENERAL</t>
  </si>
  <si>
    <t>Participación (%) por Actividad</t>
  </si>
  <si>
    <t xml:space="preserve">      (Decis)</t>
  </si>
  <si>
    <t>Kilo</t>
  </si>
  <si>
    <t>Total Costo Fomento</t>
  </si>
  <si>
    <t>Las unidades de médida expresadas en los insumos corresponde a la forma en la que los productores  la obtienen de los puntos de venta o agroquímicas.</t>
  </si>
  <si>
    <t>COSTO FOMENTO: desde el año 1 al 3   Y  COSTO MANTENIMIENTO:  del cuarto año en adelante.</t>
  </si>
  <si>
    <t>Una Hectárea equivale a 15.9 tareas.</t>
  </si>
  <si>
    <t xml:space="preserve">Notas: </t>
  </si>
  <si>
    <t xml:space="preserve"> El uso de una "MARCA DE FABRICA" no constituye una recomendación del producto, sino lo que informaron los productores.</t>
  </si>
  <si>
    <t xml:space="preserve">               Estimados por la División de Estudios Económicos.</t>
  </si>
  <si>
    <t>Fuente:  Ministerio de Agricultura, Departamento de Economía Agropecuaria.</t>
  </si>
  <si>
    <t>1.Compra de Plántulas de Siembra</t>
  </si>
  <si>
    <t>2. Compra para la Resiembra</t>
  </si>
  <si>
    <t xml:space="preserve">3.Compra de Fertilizante </t>
  </si>
  <si>
    <t>4.Compra de Dithane</t>
  </si>
  <si>
    <t xml:space="preserve">5.Compra de Insecticida </t>
  </si>
  <si>
    <t xml:space="preserve">1.Corte </t>
  </si>
  <si>
    <t xml:space="preserve">2.Cruce </t>
  </si>
  <si>
    <t xml:space="preserve">3.Rastra </t>
  </si>
  <si>
    <t>1. Marcado y Alineación</t>
  </si>
  <si>
    <t>2. Transporte de Plantas</t>
  </si>
  <si>
    <t>3.Construcción de Hoyos Siembra</t>
  </si>
  <si>
    <t>4.Construccion de Hoyos Resiembra</t>
  </si>
  <si>
    <t>5. Transporte de Fertilizantes</t>
  </si>
  <si>
    <t>6. Aplicación de Fertilizantes</t>
  </si>
  <si>
    <t>7.Aplicación de Pesticidas</t>
  </si>
  <si>
    <t>8.Desyerbo</t>
  </si>
  <si>
    <t>9. Deschuponado y Poda</t>
  </si>
  <si>
    <t>10. Recolección y Empaque</t>
  </si>
  <si>
    <t>Página 162</t>
  </si>
  <si>
    <t xml:space="preserve">  PAGOS INTERESES 8.0% ANUAL (12 meses 8.0%)</t>
  </si>
  <si>
    <t xml:space="preserve">  REPUBLICA DOMINICANA,  2019.-  (En RD$)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</si>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</sst>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_(* #,##0.000_);_(* \(#,##0.000\);_(* &quot;-&quot;??_);_(@_)"/>
    <numFmt numFmtId="190" formatCode="_(* #,##0.0000_);_(* \(#,##0.0000\);_(* &quot;-&quot;??_);_(@_)"/>
    <numFmt numFmtId="191" formatCode="0.0000"/>
    <numFmt numFmtId="192" formatCode="#,##0.00_ ;\-#,##0.00\ "/>
    <numFmt numFmtId="193" formatCode="0_)"/>
  </numFmts>
  <fonts count="47">
    <font>
      <sz val="10"/>
      <name val="Arial"/>
      <family val="0"/>
    </font>
    <font>
      <sz val="10"/>
      <color indexed="8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0" xfId="47" applyFont="1" applyAlignment="1">
      <alignment/>
    </xf>
    <xf numFmtId="187" fontId="3" fillId="0" borderId="0" xfId="0" applyNumberFormat="1" applyFont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>
      <alignment/>
    </xf>
    <xf numFmtId="0" fontId="8" fillId="0" borderId="0" xfId="0" applyFont="1" applyAlignment="1">
      <alignment/>
    </xf>
    <xf numFmtId="187" fontId="8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33" borderId="0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>
      <alignment horizontal="centerContinuous" vertical="center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>
      <alignment/>
    </xf>
    <xf numFmtId="43" fontId="5" fillId="33" borderId="11" xfId="47" applyFont="1" applyFill="1" applyBorder="1" applyAlignment="1">
      <alignment/>
    </xf>
    <xf numFmtId="0" fontId="4" fillId="33" borderId="12" xfId="0" applyFont="1" applyFill="1" applyBorder="1" applyAlignment="1" applyProtection="1">
      <alignment horizontal="left"/>
      <protection/>
    </xf>
    <xf numFmtId="187" fontId="4" fillId="33" borderId="13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43" fontId="4" fillId="33" borderId="13" xfId="47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9" fontId="3" fillId="33" borderId="14" xfId="53" applyFont="1" applyFill="1" applyBorder="1" applyAlignment="1">
      <alignment horizontal="center"/>
    </xf>
    <xf numFmtId="43" fontId="4" fillId="33" borderId="13" xfId="47" applyFont="1" applyFill="1" applyBorder="1" applyAlignment="1">
      <alignment/>
    </xf>
    <xf numFmtId="190" fontId="4" fillId="33" borderId="13" xfId="47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43" fontId="5" fillId="33" borderId="13" xfId="47" applyFont="1" applyFill="1" applyBorder="1" applyAlignment="1">
      <alignment/>
    </xf>
    <xf numFmtId="188" fontId="4" fillId="33" borderId="13" xfId="0" applyNumberFormat="1" applyFont="1" applyFill="1" applyBorder="1" applyAlignment="1" applyProtection="1">
      <alignment/>
      <protection/>
    </xf>
    <xf numFmtId="190" fontId="4" fillId="33" borderId="13" xfId="47" applyNumberFormat="1" applyFont="1" applyFill="1" applyBorder="1" applyAlignment="1" applyProtection="1">
      <alignment horizontal="right"/>
      <protection/>
    </xf>
    <xf numFmtId="0" fontId="4" fillId="33" borderId="15" xfId="0" applyFont="1" applyFill="1" applyBorder="1" applyAlignment="1" applyProtection="1">
      <alignment horizontal="left"/>
      <protection/>
    </xf>
    <xf numFmtId="188" fontId="4" fillId="33" borderId="16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/>
      <protection/>
    </xf>
    <xf numFmtId="187" fontId="4" fillId="33" borderId="16" xfId="0" applyNumberFormat="1" applyFont="1" applyFill="1" applyBorder="1" applyAlignment="1" applyProtection="1">
      <alignment/>
      <protection/>
    </xf>
    <xf numFmtId="43" fontId="4" fillId="33" borderId="16" xfId="47" applyFont="1" applyFill="1" applyBorder="1" applyAlignment="1" applyProtection="1">
      <alignment/>
      <protection/>
    </xf>
    <xf numFmtId="9" fontId="3" fillId="33" borderId="17" xfId="53" applyFont="1" applyFill="1" applyBorder="1" applyAlignment="1">
      <alignment horizontal="center"/>
    </xf>
    <xf numFmtId="0" fontId="5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39" fontId="5" fillId="33" borderId="20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39" fontId="4" fillId="33" borderId="22" xfId="0" applyNumberFormat="1" applyFont="1" applyFill="1" applyBorder="1" applyAlignment="1" applyProtection="1">
      <alignment/>
      <protection/>
    </xf>
    <xf numFmtId="39" fontId="5" fillId="33" borderId="2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 vertical="center"/>
      <protection/>
    </xf>
    <xf numFmtId="187" fontId="3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5" fillId="33" borderId="13" xfId="0" applyNumberFormat="1" applyFont="1" applyFill="1" applyBorder="1" applyAlignment="1">
      <alignment/>
    </xf>
    <xf numFmtId="43" fontId="5" fillId="33" borderId="16" xfId="0" applyNumberFormat="1" applyFont="1" applyFill="1" applyBorder="1" applyAlignment="1">
      <alignment/>
    </xf>
    <xf numFmtId="9" fontId="8" fillId="33" borderId="14" xfId="53" applyFont="1" applyFill="1" applyBorder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left"/>
      <protection/>
    </xf>
    <xf numFmtId="7" fontId="4" fillId="33" borderId="0" xfId="0" applyNumberFormat="1" applyFont="1" applyFill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193" fontId="4" fillId="33" borderId="0" xfId="0" applyNumberFormat="1" applyFont="1" applyFill="1" applyAlignment="1" applyProtection="1">
      <alignment/>
      <protection/>
    </xf>
    <xf numFmtId="0" fontId="4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7" fontId="3" fillId="33" borderId="0" xfId="0" applyNumberFormat="1" applyFont="1" applyFill="1" applyAlignment="1" applyProtection="1">
      <alignment/>
      <protection/>
    </xf>
    <xf numFmtId="187" fontId="8" fillId="33" borderId="0" xfId="0" applyNumberFormat="1" applyFont="1" applyFill="1" applyAlignment="1" applyProtection="1">
      <alignment/>
      <protection/>
    </xf>
    <xf numFmtId="188" fontId="3" fillId="33" borderId="0" xfId="0" applyNumberFormat="1" applyFont="1" applyFill="1" applyAlignment="1" applyProtection="1">
      <alignment/>
      <protection/>
    </xf>
    <xf numFmtId="9" fontId="5" fillId="33" borderId="23" xfId="53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39" fontId="4" fillId="33" borderId="26" xfId="0" applyNumberFormat="1" applyFont="1" applyFill="1" applyBorder="1" applyAlignment="1" applyProtection="1">
      <alignment/>
      <protection/>
    </xf>
    <xf numFmtId="39" fontId="5" fillId="33" borderId="26" xfId="0" applyNumberFormat="1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39" fontId="46" fillId="0" borderId="0" xfId="0" applyNumberFormat="1" applyFont="1" applyAlignment="1">
      <alignment/>
    </xf>
    <xf numFmtId="0" fontId="9" fillId="34" borderId="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left"/>
      <protection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39" fontId="5" fillId="34" borderId="29" xfId="0" applyNumberFormat="1" applyFont="1" applyFill="1" applyBorder="1" applyAlignment="1" applyProtection="1">
      <alignment/>
      <protection/>
    </xf>
    <xf numFmtId="9" fontId="5" fillId="34" borderId="29" xfId="53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justify"/>
      <protection/>
    </xf>
    <xf numFmtId="0" fontId="9" fillId="34" borderId="16" xfId="0" applyFont="1" applyFill="1" applyBorder="1" applyAlignment="1" applyProtection="1">
      <alignment horizontal="center" vertical="justify"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left" wrapText="1"/>
      <protection/>
    </xf>
    <xf numFmtId="0" fontId="4" fillId="33" borderId="0" xfId="0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8" fillId="34" borderId="30" xfId="0" applyFont="1" applyFill="1" applyBorder="1" applyAlignment="1">
      <alignment horizontal="center" vertical="justify"/>
    </xf>
    <xf numFmtId="0" fontId="8" fillId="34" borderId="31" xfId="0" applyFont="1" applyFill="1" applyBorder="1" applyAlignment="1">
      <alignment horizontal="center" vertical="justify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4">
      <selection activeCell="D23" sqref="D23"/>
    </sheetView>
  </sheetViews>
  <sheetFormatPr defaultColWidth="11.00390625" defaultRowHeight="12.75"/>
  <cols>
    <col min="1" max="1" width="26.00390625" style="3" customWidth="1"/>
    <col min="2" max="2" width="7.57421875" style="3" customWidth="1"/>
    <col min="3" max="4" width="8.7109375" style="3" customWidth="1"/>
    <col min="5" max="5" width="10.28125" style="3" customWidth="1"/>
    <col min="6" max="6" width="8.57421875" style="3" customWidth="1"/>
    <col min="7" max="7" width="9.28125" style="3" customWidth="1"/>
    <col min="8" max="8" width="11.00390625" style="8" customWidth="1"/>
    <col min="9" max="9" width="11.421875" style="3" customWidth="1"/>
    <col min="10" max="10" width="13.00390625" style="3" customWidth="1"/>
    <col min="11" max="11" width="11.421875" style="3" customWidth="1"/>
    <col min="12" max="16384" width="11.00390625" style="3" customWidth="1"/>
  </cols>
  <sheetData>
    <row r="1" spans="1:11" ht="7.5" customHeight="1">
      <c r="A1" s="44"/>
      <c r="B1" s="44"/>
      <c r="C1" s="44"/>
      <c r="D1" s="44"/>
      <c r="E1" s="44"/>
      <c r="F1" s="44"/>
      <c r="G1" s="44"/>
      <c r="H1" s="45"/>
      <c r="I1" s="44"/>
      <c r="J1" s="44"/>
      <c r="K1" s="44"/>
    </row>
    <row r="2" spans="1:11" s="1" customFormat="1" ht="13.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1.25" customHeight="1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3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1" customFormat="1" ht="11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2" customFormat="1" ht="2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5" customHeight="1">
      <c r="A7" s="74"/>
      <c r="B7" s="91" t="s">
        <v>8</v>
      </c>
      <c r="C7" s="91" t="s">
        <v>9</v>
      </c>
      <c r="D7" s="72" t="s">
        <v>1</v>
      </c>
      <c r="E7" s="72" t="s">
        <v>2</v>
      </c>
      <c r="F7" s="72" t="s">
        <v>3</v>
      </c>
      <c r="G7" s="72" t="s">
        <v>4</v>
      </c>
      <c r="H7" s="82" t="s">
        <v>27</v>
      </c>
      <c r="I7" s="72" t="s">
        <v>5</v>
      </c>
      <c r="J7" s="72" t="s">
        <v>6</v>
      </c>
      <c r="K7" s="89" t="s">
        <v>24</v>
      </c>
    </row>
    <row r="8" spans="1:11" ht="27.75" customHeight="1" thickBot="1">
      <c r="A8" s="75" t="s">
        <v>7</v>
      </c>
      <c r="B8" s="92"/>
      <c r="C8" s="92"/>
      <c r="D8" s="73" t="s">
        <v>10</v>
      </c>
      <c r="E8" s="73" t="s">
        <v>6</v>
      </c>
      <c r="F8" s="73" t="s">
        <v>6</v>
      </c>
      <c r="G8" s="73" t="s">
        <v>6</v>
      </c>
      <c r="H8" s="83"/>
      <c r="I8" s="73" t="s">
        <v>6</v>
      </c>
      <c r="J8" s="73" t="s">
        <v>11</v>
      </c>
      <c r="K8" s="90"/>
    </row>
    <row r="9" spans="1:13" ht="16.5" customHeight="1">
      <c r="A9" s="14" t="s">
        <v>12</v>
      </c>
      <c r="B9" s="15"/>
      <c r="C9" s="15"/>
      <c r="D9" s="15"/>
      <c r="E9" s="16">
        <f>SUM(E10:E16)</f>
        <v>1035.9566666666667</v>
      </c>
      <c r="F9" s="16">
        <f aca="true" t="shared" si="0" ref="F9:K9">SUM(F10:F16)</f>
        <v>140.6689370560432</v>
      </c>
      <c r="G9" s="16">
        <f t="shared" si="0"/>
        <v>78.51107602565833</v>
      </c>
      <c r="H9" s="16">
        <f>SUM(H10:H16)</f>
        <v>1255.1366797483684</v>
      </c>
      <c r="I9" s="16">
        <f>SUM(I10:I16)</f>
        <v>430.5353354648886</v>
      </c>
      <c r="J9" s="16">
        <f>SUM(J10:J16)</f>
        <v>1693.130593067747</v>
      </c>
      <c r="K9" s="51">
        <f t="shared" si="0"/>
        <v>0.2105665843712881</v>
      </c>
      <c r="M9" s="7"/>
    </row>
    <row r="10" spans="1:13" ht="13.5" customHeight="1">
      <c r="A10" s="17" t="s">
        <v>35</v>
      </c>
      <c r="B10" s="18">
        <f>727.86/36</f>
        <v>20.218333333333334</v>
      </c>
      <c r="C10" s="19" t="s">
        <v>13</v>
      </c>
      <c r="D10" s="18">
        <v>50</v>
      </c>
      <c r="E10" s="20">
        <f>(D10*B10)</f>
        <v>1010.9166666666667</v>
      </c>
      <c r="F10" s="21"/>
      <c r="G10" s="21"/>
      <c r="H10" s="49">
        <f>SUM(E10:G10)</f>
        <v>1010.9166666666667</v>
      </c>
      <c r="I10" s="21"/>
      <c r="J10" s="20">
        <f>SUM(H10:I10)</f>
        <v>1010.9166666666667</v>
      </c>
      <c r="K10" s="22">
        <f>J10/J$35</f>
        <v>0.12799994808892742</v>
      </c>
      <c r="L10" s="7"/>
      <c r="M10" s="7"/>
    </row>
    <row r="11" spans="1:13" ht="13.5" customHeight="1">
      <c r="A11" s="17" t="s">
        <v>36</v>
      </c>
      <c r="B11" s="18">
        <v>2</v>
      </c>
      <c r="C11" s="19" t="s">
        <v>13</v>
      </c>
      <c r="D11" s="18">
        <v>50</v>
      </c>
      <c r="E11" s="18"/>
      <c r="F11" s="18">
        <f>(D11*B11)</f>
        <v>100</v>
      </c>
      <c r="G11" s="21"/>
      <c r="H11" s="49">
        <f aca="true" t="shared" si="1" ref="H11:H31">SUM(E11:G11)</f>
        <v>100</v>
      </c>
      <c r="I11" s="21"/>
      <c r="J11" s="20">
        <f>(D11*B11)</f>
        <v>100</v>
      </c>
      <c r="K11" s="22">
        <f>J11/J$35</f>
        <v>0.012661770481140292</v>
      </c>
      <c r="L11" s="7"/>
      <c r="M11" s="7"/>
    </row>
    <row r="12" spans="1:13" ht="13.5" customHeight="1">
      <c r="A12" s="17" t="s">
        <v>37</v>
      </c>
      <c r="B12" s="21"/>
      <c r="C12" s="21"/>
      <c r="D12" s="21"/>
      <c r="E12" s="21"/>
      <c r="F12" s="21"/>
      <c r="G12" s="21"/>
      <c r="H12" s="49"/>
      <c r="I12" s="21"/>
      <c r="J12" s="23"/>
      <c r="K12" s="22"/>
      <c r="L12" s="7"/>
      <c r="M12" s="7"/>
    </row>
    <row r="13" spans="1:13" ht="12.75" customHeight="1">
      <c r="A13" s="17" t="s">
        <v>14</v>
      </c>
      <c r="B13" s="24">
        <f>3.77/44.43</f>
        <v>0.08485257708755345</v>
      </c>
      <c r="C13" s="19" t="s">
        <v>15</v>
      </c>
      <c r="D13" s="20">
        <v>1181.625</v>
      </c>
      <c r="E13" s="18">
        <v>6.03</v>
      </c>
      <c r="F13" s="18">
        <f>(J13*0.04)</f>
        <v>4.010557056043214</v>
      </c>
      <c r="G13" s="18">
        <f>(J13*0.054)</f>
        <v>5.414252025658338</v>
      </c>
      <c r="H13" s="49">
        <f>SUM(E13:G13)</f>
        <v>15.454809081701551</v>
      </c>
      <c r="I13" s="18">
        <f>(J13*0.8225)</f>
        <v>82.46707946488858</v>
      </c>
      <c r="J13" s="20">
        <f>(D13*B13)</f>
        <v>100.26392640108034</v>
      </c>
      <c r="K13" s="22">
        <f>J13/J$35</f>
        <v>0.01269518823628422</v>
      </c>
      <c r="L13" s="7"/>
      <c r="M13" s="48"/>
    </row>
    <row r="14" spans="1:13" ht="15.75" customHeight="1">
      <c r="A14" s="17" t="s">
        <v>38</v>
      </c>
      <c r="B14" s="24">
        <f>4/50</f>
        <v>0.08</v>
      </c>
      <c r="C14" s="19" t="s">
        <v>26</v>
      </c>
      <c r="D14" s="20">
        <v>376.5</v>
      </c>
      <c r="E14" s="18">
        <v>14.18</v>
      </c>
      <c r="F14" s="18">
        <f>(J14*0.047)</f>
        <v>1.41564</v>
      </c>
      <c r="G14" s="18">
        <f>(J14*0.1167)</f>
        <v>3.5150040000000002</v>
      </c>
      <c r="H14" s="49">
        <f>SUM(E14:G14)</f>
        <v>19.110644</v>
      </c>
      <c r="I14" s="18">
        <f>(J14*0.2453)</f>
        <v>7.388436</v>
      </c>
      <c r="J14" s="20">
        <f>(D14*B14)</f>
        <v>30.12</v>
      </c>
      <c r="K14" s="22"/>
      <c r="L14" s="47"/>
      <c r="M14" s="7"/>
    </row>
    <row r="15" spans="1:13" ht="12.75" customHeight="1">
      <c r="A15" s="17" t="s">
        <v>39</v>
      </c>
      <c r="B15" s="21"/>
      <c r="C15" s="21"/>
      <c r="D15" s="21"/>
      <c r="E15" s="18"/>
      <c r="F15" s="18"/>
      <c r="G15" s="18"/>
      <c r="H15" s="49"/>
      <c r="I15" s="18"/>
      <c r="J15" s="20"/>
      <c r="K15" s="22"/>
      <c r="L15" s="47"/>
      <c r="M15" s="7"/>
    </row>
    <row r="16" spans="1:13" ht="12.75" customHeight="1">
      <c r="A16" s="17" t="s">
        <v>25</v>
      </c>
      <c r="B16" s="20">
        <f>3/10</f>
        <v>0.3</v>
      </c>
      <c r="C16" s="19" t="s">
        <v>16</v>
      </c>
      <c r="D16" s="20">
        <v>1506.1</v>
      </c>
      <c r="E16" s="18">
        <v>4.83</v>
      </c>
      <c r="F16" s="18">
        <f>(J16*0.078)</f>
        <v>35.24274</v>
      </c>
      <c r="G16" s="18">
        <f>(J16*0.154)</f>
        <v>69.58182</v>
      </c>
      <c r="H16" s="49">
        <f>SUM(E16:G16)</f>
        <v>109.65455999999999</v>
      </c>
      <c r="I16" s="18">
        <f>(J16*0.754)</f>
        <v>340.67982</v>
      </c>
      <c r="J16" s="20">
        <f>(D16*B16)</f>
        <v>451.83</v>
      </c>
      <c r="K16" s="22">
        <f>J16/J$35</f>
        <v>0.05720967756493618</v>
      </c>
      <c r="L16" s="47"/>
      <c r="M16" s="7"/>
    </row>
    <row r="17" spans="1:13" ht="15" customHeight="1">
      <c r="A17" s="25" t="s">
        <v>17</v>
      </c>
      <c r="B17" s="21"/>
      <c r="C17" s="21"/>
      <c r="D17" s="21"/>
      <c r="E17" s="26">
        <f>SUM(E18:E20)</f>
        <v>650</v>
      </c>
      <c r="F17" s="26">
        <f aca="true" t="shared" si="2" ref="F17:K17">SUM(F18:F20)</f>
        <v>0</v>
      </c>
      <c r="G17" s="26">
        <f t="shared" si="2"/>
        <v>0</v>
      </c>
      <c r="H17" s="26">
        <f>SUM(H18:H20)</f>
        <v>650</v>
      </c>
      <c r="I17" s="26">
        <f t="shared" si="2"/>
        <v>0</v>
      </c>
      <c r="J17" s="26">
        <f>SUM(J18:J20)</f>
        <v>650</v>
      </c>
      <c r="K17" s="51">
        <f t="shared" si="2"/>
        <v>0.0823015081274119</v>
      </c>
      <c r="L17" s="47"/>
      <c r="M17" s="7"/>
    </row>
    <row r="18" spans="1:13" ht="13.5">
      <c r="A18" s="17" t="s">
        <v>40</v>
      </c>
      <c r="B18" s="27">
        <v>1</v>
      </c>
      <c r="C18" s="19" t="s">
        <v>18</v>
      </c>
      <c r="D18" s="18">
        <v>250</v>
      </c>
      <c r="E18" s="18">
        <f>D18*B18</f>
        <v>250</v>
      </c>
      <c r="F18" s="18"/>
      <c r="G18" s="18"/>
      <c r="H18" s="49">
        <f t="shared" si="1"/>
        <v>250</v>
      </c>
      <c r="I18" s="18"/>
      <c r="J18" s="20">
        <f>B18*D18</f>
        <v>250</v>
      </c>
      <c r="K18" s="22">
        <f>J18/J$35</f>
        <v>0.03165442620285073</v>
      </c>
      <c r="L18" s="7"/>
      <c r="M18" s="7"/>
    </row>
    <row r="19" spans="1:13" ht="13.5">
      <c r="A19" s="17" t="s">
        <v>41</v>
      </c>
      <c r="B19" s="27">
        <v>1</v>
      </c>
      <c r="C19" s="19" t="s">
        <v>18</v>
      </c>
      <c r="D19" s="18">
        <v>200</v>
      </c>
      <c r="E19" s="18">
        <f>D19*B19</f>
        <v>200</v>
      </c>
      <c r="F19" s="18"/>
      <c r="G19" s="18"/>
      <c r="H19" s="49">
        <f t="shared" si="1"/>
        <v>200</v>
      </c>
      <c r="I19" s="18"/>
      <c r="J19" s="20">
        <f>B19*D19</f>
        <v>200</v>
      </c>
      <c r="K19" s="22">
        <f>J19/J$35</f>
        <v>0.025323540962280584</v>
      </c>
      <c r="L19" s="48"/>
      <c r="M19" s="7"/>
    </row>
    <row r="20" spans="1:13" ht="13.5">
      <c r="A20" s="17" t="s">
        <v>42</v>
      </c>
      <c r="B20" s="27">
        <v>1</v>
      </c>
      <c r="C20" s="19" t="s">
        <v>18</v>
      </c>
      <c r="D20" s="18">
        <v>200</v>
      </c>
      <c r="E20" s="18">
        <f>D20*B20</f>
        <v>200</v>
      </c>
      <c r="F20" s="18"/>
      <c r="G20" s="18"/>
      <c r="H20" s="49">
        <f t="shared" si="1"/>
        <v>200</v>
      </c>
      <c r="I20" s="18"/>
      <c r="J20" s="20">
        <f>B20*D20</f>
        <v>200</v>
      </c>
      <c r="K20" s="22">
        <f>J20/J$35</f>
        <v>0.025323540962280584</v>
      </c>
      <c r="M20" s="7"/>
    </row>
    <row r="21" spans="1:13" ht="16.5" customHeight="1">
      <c r="A21" s="25" t="s">
        <v>19</v>
      </c>
      <c r="B21" s="21"/>
      <c r="C21" s="21"/>
      <c r="D21" s="21"/>
      <c r="E21" s="26">
        <f aca="true" t="shared" si="3" ref="E21:K21">SUM(E22:E31)</f>
        <v>405.2455</v>
      </c>
      <c r="F21" s="26">
        <f t="shared" si="3"/>
        <v>754.1645</v>
      </c>
      <c r="G21" s="26">
        <f t="shared" si="3"/>
        <v>366.48099999999994</v>
      </c>
      <c r="H21" s="26">
        <f t="shared" si="3"/>
        <v>1525.891</v>
      </c>
      <c r="I21" s="26">
        <f t="shared" si="3"/>
        <v>3275.359</v>
      </c>
      <c r="J21" s="26">
        <f t="shared" si="3"/>
        <v>4826.25</v>
      </c>
      <c r="K21" s="51">
        <f t="shared" si="3"/>
        <v>0.6110886978460334</v>
      </c>
      <c r="L21" s="7"/>
      <c r="M21" s="7"/>
    </row>
    <row r="22" spans="1:13" ht="15" customHeight="1">
      <c r="A22" s="17" t="s">
        <v>43</v>
      </c>
      <c r="B22" s="27">
        <v>0.127</v>
      </c>
      <c r="C22" s="19" t="s">
        <v>20</v>
      </c>
      <c r="D22" s="18">
        <v>500</v>
      </c>
      <c r="E22" s="18">
        <v>57.15</v>
      </c>
      <c r="F22" s="18"/>
      <c r="G22" s="18"/>
      <c r="H22" s="49">
        <f>SUM(E22:G22)</f>
        <v>57.15</v>
      </c>
      <c r="I22" s="18"/>
      <c r="J22" s="20">
        <f>(D22*B22)</f>
        <v>63.5</v>
      </c>
      <c r="K22" s="22">
        <f aca="true" t="shared" si="4" ref="K22:K31">J22/J$35</f>
        <v>0.008040224255524085</v>
      </c>
      <c r="M22" s="7"/>
    </row>
    <row r="23" spans="1:13" ht="15" customHeight="1">
      <c r="A23" s="17" t="s">
        <v>44</v>
      </c>
      <c r="B23" s="27">
        <v>0.373</v>
      </c>
      <c r="C23" s="19" t="s">
        <v>20</v>
      </c>
      <c r="D23" s="18">
        <f>+D22</f>
        <v>500</v>
      </c>
      <c r="E23" s="18">
        <v>20</v>
      </c>
      <c r="F23" s="18">
        <v>56.85</v>
      </c>
      <c r="G23" s="18">
        <v>91</v>
      </c>
      <c r="H23" s="49">
        <f>SUM(E23:G23)</f>
        <v>167.85</v>
      </c>
      <c r="I23" s="18"/>
      <c r="J23" s="20">
        <f aca="true" t="shared" si="5" ref="J23:J30">(D23*B23)</f>
        <v>186.5</v>
      </c>
      <c r="K23" s="22">
        <f t="shared" si="4"/>
        <v>0.023614201947326646</v>
      </c>
      <c r="M23" s="7"/>
    </row>
    <row r="24" spans="1:13" ht="15" customHeight="1">
      <c r="A24" s="17" t="s">
        <v>45</v>
      </c>
      <c r="B24" s="27">
        <v>0.3405</v>
      </c>
      <c r="C24" s="19" t="s">
        <v>20</v>
      </c>
      <c r="D24" s="18">
        <f aca="true" t="shared" si="6" ref="D24:D31">+D23</f>
        <v>500</v>
      </c>
      <c r="E24" s="18">
        <f>D24*B24</f>
        <v>170.25</v>
      </c>
      <c r="F24" s="18"/>
      <c r="G24" s="18"/>
      <c r="H24" s="49">
        <f t="shared" si="1"/>
        <v>170.25</v>
      </c>
      <c r="I24" s="18"/>
      <c r="J24" s="20">
        <f t="shared" si="5"/>
        <v>170.25</v>
      </c>
      <c r="K24" s="22">
        <f t="shared" si="4"/>
        <v>0.02155666424414135</v>
      </c>
      <c r="L24" s="7"/>
      <c r="M24" s="7"/>
    </row>
    <row r="25" spans="1:13" ht="15" customHeight="1">
      <c r="A25" s="17" t="s">
        <v>46</v>
      </c>
      <c r="B25" s="27">
        <v>0.938</v>
      </c>
      <c r="C25" s="19" t="s">
        <v>20</v>
      </c>
      <c r="D25" s="18">
        <f t="shared" si="6"/>
        <v>500</v>
      </c>
      <c r="E25" s="18"/>
      <c r="F25" s="18">
        <f>(D25*B25)</f>
        <v>469</v>
      </c>
      <c r="G25" s="18"/>
      <c r="H25" s="49">
        <f t="shared" si="1"/>
        <v>469</v>
      </c>
      <c r="I25" s="18"/>
      <c r="J25" s="20">
        <f t="shared" si="5"/>
        <v>469</v>
      </c>
      <c r="K25" s="22">
        <f t="shared" si="4"/>
        <v>0.05938370355654797</v>
      </c>
      <c r="M25" s="7"/>
    </row>
    <row r="26" spans="1:13" ht="15" customHeight="1">
      <c r="A26" s="17" t="s">
        <v>47</v>
      </c>
      <c r="B26" s="28">
        <v>0.932</v>
      </c>
      <c r="C26" s="19" t="s">
        <v>20</v>
      </c>
      <c r="D26" s="18">
        <f t="shared" si="6"/>
        <v>500</v>
      </c>
      <c r="E26" s="18">
        <f>(J26*0.025)</f>
        <v>11.65</v>
      </c>
      <c r="F26" s="18">
        <f>(J26*0.042)</f>
        <v>19.572000000000003</v>
      </c>
      <c r="G26" s="18">
        <f>(J26*0.073)</f>
        <v>34.018</v>
      </c>
      <c r="H26" s="49">
        <f t="shared" si="1"/>
        <v>65.24000000000001</v>
      </c>
      <c r="I26" s="18">
        <f>(J26*0.86)</f>
        <v>400.76</v>
      </c>
      <c r="J26" s="20">
        <f t="shared" si="5"/>
        <v>466</v>
      </c>
      <c r="K26" s="22">
        <f t="shared" si="4"/>
        <v>0.05900385044211376</v>
      </c>
      <c r="M26" s="7"/>
    </row>
    <row r="27" spans="1:13" ht="15" customHeight="1">
      <c r="A27" s="17" t="s">
        <v>48</v>
      </c>
      <c r="B27" s="28">
        <v>0.3366</v>
      </c>
      <c r="C27" s="19" t="s">
        <v>20</v>
      </c>
      <c r="D27" s="18">
        <f t="shared" si="6"/>
        <v>500</v>
      </c>
      <c r="E27" s="18">
        <f>(J27*0.05)</f>
        <v>8.415000000000001</v>
      </c>
      <c r="F27" s="18">
        <f>(J27*0.05)</f>
        <v>8.415000000000001</v>
      </c>
      <c r="G27" s="18">
        <f>(J27*0.09)</f>
        <v>15.147</v>
      </c>
      <c r="H27" s="49">
        <f t="shared" si="1"/>
        <v>31.977000000000004</v>
      </c>
      <c r="I27" s="18">
        <f>(J27*0.81)</f>
        <v>136.323</v>
      </c>
      <c r="J27" s="20">
        <f t="shared" si="5"/>
        <v>168.3</v>
      </c>
      <c r="K27" s="22">
        <f t="shared" si="4"/>
        <v>0.021309759719759114</v>
      </c>
      <c r="M27" s="7"/>
    </row>
    <row r="28" spans="1:13" ht="15" customHeight="1">
      <c r="A28" s="17" t="s">
        <v>49</v>
      </c>
      <c r="B28" s="28">
        <f>0.1739+0.1768</f>
        <v>0.3507</v>
      </c>
      <c r="C28" s="19" t="s">
        <v>20</v>
      </c>
      <c r="D28" s="18">
        <f t="shared" si="6"/>
        <v>500</v>
      </c>
      <c r="E28" s="18">
        <f>(J28*0.05)</f>
        <v>8.7675</v>
      </c>
      <c r="F28" s="18">
        <f>(J28*0.05)</f>
        <v>8.7675</v>
      </c>
      <c r="G28" s="18">
        <f>(J28*0.06)</f>
        <v>10.520999999999999</v>
      </c>
      <c r="H28" s="49">
        <f t="shared" si="1"/>
        <v>28.055999999999997</v>
      </c>
      <c r="I28" s="18">
        <f>(J28*0.84)</f>
        <v>147.29399999999998</v>
      </c>
      <c r="J28" s="20">
        <f t="shared" si="5"/>
        <v>175.35</v>
      </c>
      <c r="K28" s="22">
        <f t="shared" si="4"/>
        <v>0.0222024145386795</v>
      </c>
      <c r="M28" s="7"/>
    </row>
    <row r="29" spans="1:13" ht="15" customHeight="1">
      <c r="A29" s="17" t="s">
        <v>50</v>
      </c>
      <c r="B29" s="28">
        <v>1.4077</v>
      </c>
      <c r="C29" s="19" t="s">
        <v>20</v>
      </c>
      <c r="D29" s="18">
        <f t="shared" si="6"/>
        <v>500</v>
      </c>
      <c r="E29" s="18">
        <f>(J29*0.08)</f>
        <v>56.308</v>
      </c>
      <c r="F29" s="18">
        <f>(J29*0.1)</f>
        <v>70.385</v>
      </c>
      <c r="G29" s="18">
        <f>(J29*0.1)</f>
        <v>70.385</v>
      </c>
      <c r="H29" s="49">
        <f t="shared" si="1"/>
        <v>197.07800000000003</v>
      </c>
      <c r="I29" s="18">
        <f>(J29*0.72)</f>
        <v>506.772</v>
      </c>
      <c r="J29" s="20">
        <f t="shared" si="5"/>
        <v>703.85</v>
      </c>
      <c r="K29" s="22">
        <f t="shared" si="4"/>
        <v>0.08911987153150595</v>
      </c>
      <c r="M29" s="7"/>
    </row>
    <row r="30" spans="1:13" ht="15" customHeight="1">
      <c r="A30" s="17" t="s">
        <v>51</v>
      </c>
      <c r="B30" s="27">
        <v>1.967</v>
      </c>
      <c r="C30" s="19" t="s">
        <v>20</v>
      </c>
      <c r="D30" s="18">
        <f t="shared" si="6"/>
        <v>500</v>
      </c>
      <c r="E30" s="18">
        <f>(J30*0.03)</f>
        <v>29.505</v>
      </c>
      <c r="F30" s="18">
        <f>(J30*0.05)</f>
        <v>49.175000000000004</v>
      </c>
      <c r="G30" s="18">
        <f>(J30*0.06)</f>
        <v>59.01</v>
      </c>
      <c r="H30" s="49">
        <f t="shared" si="1"/>
        <v>137.69</v>
      </c>
      <c r="I30" s="18">
        <f>(J30*0.86)</f>
        <v>845.81</v>
      </c>
      <c r="J30" s="20">
        <f t="shared" si="5"/>
        <v>983.5</v>
      </c>
      <c r="K30" s="22">
        <f t="shared" si="4"/>
        <v>0.12452851268201477</v>
      </c>
      <c r="L30" s="69"/>
      <c r="M30" s="7"/>
    </row>
    <row r="31" spans="1:13" ht="15" customHeight="1" thickBot="1">
      <c r="A31" s="29" t="s">
        <v>52</v>
      </c>
      <c r="B31" s="30">
        <v>2.88</v>
      </c>
      <c r="C31" s="31" t="s">
        <v>20</v>
      </c>
      <c r="D31" s="18">
        <f t="shared" si="6"/>
        <v>500</v>
      </c>
      <c r="E31" s="32">
        <f>(J31*0.03)</f>
        <v>43.199999999999996</v>
      </c>
      <c r="F31" s="32">
        <f>(J31*0.05)</f>
        <v>72</v>
      </c>
      <c r="G31" s="32">
        <f>(J31*0.06)</f>
        <v>86.39999999999999</v>
      </c>
      <c r="H31" s="50">
        <f t="shared" si="1"/>
        <v>201.59999999999997</v>
      </c>
      <c r="I31" s="32">
        <f>(J31*0.86)</f>
        <v>1238.4</v>
      </c>
      <c r="J31" s="33">
        <f>(D31*B31)</f>
        <v>1440</v>
      </c>
      <c r="K31" s="34">
        <f t="shared" si="4"/>
        <v>0.1823294949284202</v>
      </c>
      <c r="L31" s="69"/>
      <c r="M31" s="7"/>
    </row>
    <row r="32" spans="1:12" ht="15" customHeight="1">
      <c r="A32" s="35" t="s">
        <v>21</v>
      </c>
      <c r="B32" s="36"/>
      <c r="C32" s="36"/>
      <c r="D32" s="37"/>
      <c r="E32" s="38">
        <f aca="true" t="shared" si="7" ref="E32:J32">E9+E17+E21</f>
        <v>2091.202166666667</v>
      </c>
      <c r="F32" s="38">
        <f t="shared" si="7"/>
        <v>894.8334370560432</v>
      </c>
      <c r="G32" s="38">
        <f t="shared" si="7"/>
        <v>444.99207602565826</v>
      </c>
      <c r="H32" s="38">
        <f t="shared" si="7"/>
        <v>3431.0276797483684</v>
      </c>
      <c r="I32" s="38">
        <f t="shared" si="7"/>
        <v>3705.8943354648886</v>
      </c>
      <c r="J32" s="38">
        <f t="shared" si="7"/>
        <v>7169.380593067747</v>
      </c>
      <c r="K32" s="63">
        <f>K9+K17+K21</f>
        <v>0.9039567903447334</v>
      </c>
      <c r="L32" s="69"/>
    </row>
    <row r="33" spans="1:12" ht="12.75" customHeight="1">
      <c r="A33" s="39" t="s">
        <v>22</v>
      </c>
      <c r="B33" s="40"/>
      <c r="C33" s="40"/>
      <c r="D33" s="41"/>
      <c r="E33" s="42">
        <f aca="true" t="shared" si="8" ref="E33:J33">(E32*0.02)</f>
        <v>41.82404333333334</v>
      </c>
      <c r="F33" s="42">
        <f t="shared" si="8"/>
        <v>17.896668741120862</v>
      </c>
      <c r="G33" s="42">
        <f t="shared" si="8"/>
        <v>8.899841520513165</v>
      </c>
      <c r="H33" s="43">
        <f t="shared" si="8"/>
        <v>68.62055359496738</v>
      </c>
      <c r="I33" s="42">
        <f t="shared" si="8"/>
        <v>74.11788670929778</v>
      </c>
      <c r="J33" s="42">
        <f t="shared" si="8"/>
        <v>143.38761186135494</v>
      </c>
      <c r="K33" s="22">
        <f>J33/J$35</f>
        <v>0.018155410312273055</v>
      </c>
      <c r="L33" s="70">
        <f>+J33+J34</f>
        <v>728.4090682556831</v>
      </c>
    </row>
    <row r="34" spans="1:12" ht="12.75" customHeight="1" thickBot="1">
      <c r="A34" s="64" t="s">
        <v>54</v>
      </c>
      <c r="B34" s="65"/>
      <c r="C34" s="65"/>
      <c r="D34" s="66"/>
      <c r="E34" s="67">
        <f aca="true" t="shared" si="9" ref="E34:J34">SUM(E32:E33)*0.08</f>
        <v>170.64209680000005</v>
      </c>
      <c r="F34" s="67">
        <f t="shared" si="9"/>
        <v>73.01840846377313</v>
      </c>
      <c r="G34" s="67">
        <f t="shared" si="9"/>
        <v>36.311353403693715</v>
      </c>
      <c r="H34" s="68">
        <f t="shared" si="9"/>
        <v>279.9718586674669</v>
      </c>
      <c r="I34" s="67">
        <f t="shared" si="9"/>
        <v>302.4009777739349</v>
      </c>
      <c r="J34" s="67">
        <f t="shared" si="9"/>
        <v>585.0214563943282</v>
      </c>
      <c r="K34" s="34">
        <f>J34/J$35</f>
        <v>0.07407407407407407</v>
      </c>
      <c r="L34" s="69"/>
    </row>
    <row r="35" spans="1:12" ht="19.5" customHeight="1" thickBot="1">
      <c r="A35" s="76" t="s">
        <v>23</v>
      </c>
      <c r="B35" s="77"/>
      <c r="C35" s="77"/>
      <c r="D35" s="78"/>
      <c r="E35" s="79">
        <f aca="true" t="shared" si="10" ref="E35:J35">SUM(E32:E34)</f>
        <v>2303.6683068000007</v>
      </c>
      <c r="F35" s="79">
        <f t="shared" si="10"/>
        <v>985.7485142609371</v>
      </c>
      <c r="G35" s="79">
        <f t="shared" si="10"/>
        <v>490.20327094986516</v>
      </c>
      <c r="H35" s="79">
        <f t="shared" si="10"/>
        <v>3779.620092010803</v>
      </c>
      <c r="I35" s="79">
        <f t="shared" si="10"/>
        <v>4082.413199948121</v>
      </c>
      <c r="J35" s="79">
        <f t="shared" si="10"/>
        <v>7897.789661323431</v>
      </c>
      <c r="K35" s="80">
        <f>SUM(K32:K34)</f>
        <v>0.9961862747310806</v>
      </c>
      <c r="L35" s="69"/>
    </row>
    <row r="36" spans="1:14" ht="13.5" customHeight="1">
      <c r="A36" s="84" t="s">
        <v>31</v>
      </c>
      <c r="B36" s="84"/>
      <c r="C36" s="84"/>
      <c r="D36" s="84"/>
      <c r="E36" s="84"/>
      <c r="F36" s="84"/>
      <c r="G36" s="84"/>
      <c r="H36" s="84"/>
      <c r="I36" s="84"/>
      <c r="J36" s="84"/>
      <c r="K36" s="52"/>
      <c r="M36" s="4"/>
      <c r="N36" s="7"/>
    </row>
    <row r="37" spans="1:14" ht="45" customHeight="1">
      <c r="A37" s="86" t="s">
        <v>56</v>
      </c>
      <c r="B37" s="86"/>
      <c r="C37" s="86"/>
      <c r="D37" s="86"/>
      <c r="E37" s="86"/>
      <c r="F37" s="86"/>
      <c r="G37" s="86"/>
      <c r="H37" s="86"/>
      <c r="I37" s="86"/>
      <c r="J37" s="86"/>
      <c r="K37" s="52"/>
      <c r="M37" s="4"/>
      <c r="N37" s="7"/>
    </row>
    <row r="38" spans="1:14" ht="13.5" customHeight="1">
      <c r="A38" s="53" t="s">
        <v>32</v>
      </c>
      <c r="B38" s="53"/>
      <c r="C38" s="53"/>
      <c r="D38" s="53"/>
      <c r="E38" s="53"/>
      <c r="F38" s="53"/>
      <c r="G38" s="53"/>
      <c r="H38" s="53"/>
      <c r="I38" s="53"/>
      <c r="J38" s="53"/>
      <c r="K38" s="52"/>
      <c r="M38" s="4"/>
      <c r="N38" s="7"/>
    </row>
    <row r="39" spans="1:11" ht="15" customHeight="1">
      <c r="A39" s="85" t="s">
        <v>28</v>
      </c>
      <c r="B39" s="85"/>
      <c r="C39" s="85"/>
      <c r="D39" s="85"/>
      <c r="E39" s="85"/>
      <c r="F39" s="85"/>
      <c r="G39" s="85"/>
      <c r="H39" s="85"/>
      <c r="I39" s="85"/>
      <c r="J39" s="85"/>
      <c r="K39" s="52"/>
    </row>
    <row r="40" spans="1:11" ht="12" customHeight="1">
      <c r="A40" s="52" t="s">
        <v>30</v>
      </c>
      <c r="B40" s="52"/>
      <c r="C40" s="54"/>
      <c r="D40" s="55"/>
      <c r="E40" s="52"/>
      <c r="F40" s="52"/>
      <c r="G40" s="54"/>
      <c r="H40" s="55"/>
      <c r="I40" s="56"/>
      <c r="J40" s="57">
        <v>600</v>
      </c>
      <c r="K40" s="52"/>
    </row>
    <row r="41" spans="1:12" ht="13.5" customHeight="1">
      <c r="A41" s="87" t="s">
        <v>29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10"/>
    </row>
    <row r="42" spans="1:11" ht="18" customHeight="1">
      <c r="A42" s="52" t="s">
        <v>34</v>
      </c>
      <c r="B42" s="52"/>
      <c r="C42" s="52"/>
      <c r="D42" s="52"/>
      <c r="E42" s="52"/>
      <c r="F42" s="52"/>
      <c r="G42" s="52"/>
      <c r="H42" s="52"/>
      <c r="I42" s="52"/>
      <c r="J42" s="58">
        <f>(500+700)/2</f>
        <v>600</v>
      </c>
      <c r="K42" s="52"/>
    </row>
    <row r="43" spans="1:11" ht="13.5">
      <c r="A43" s="52" t="s">
        <v>33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13.5">
      <c r="A44" s="88" t="s">
        <v>53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1:11" ht="12.75">
      <c r="A45" s="13"/>
      <c r="B45" s="13"/>
      <c r="C45" s="13"/>
      <c r="D45" s="13"/>
      <c r="E45" s="13"/>
      <c r="F45" s="13"/>
      <c r="G45" s="13"/>
      <c r="H45" s="59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59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59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59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59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59"/>
      <c r="I50" s="13"/>
      <c r="J50" s="13"/>
      <c r="K50" s="13"/>
    </row>
    <row r="51" spans="1:11" ht="12.75">
      <c r="A51" s="13"/>
      <c r="B51" s="13"/>
      <c r="C51" s="13"/>
      <c r="D51" s="13"/>
      <c r="E51" s="13"/>
      <c r="F51" s="13"/>
      <c r="G51" s="13"/>
      <c r="H51" s="59"/>
      <c r="I51" s="13"/>
      <c r="J51" s="13"/>
      <c r="K51" s="13"/>
    </row>
    <row r="52" spans="1:11" ht="12.75">
      <c r="A52" s="13"/>
      <c r="B52" s="13"/>
      <c r="C52" s="13"/>
      <c r="D52" s="13"/>
      <c r="E52" s="13"/>
      <c r="F52" s="13"/>
      <c r="G52" s="13"/>
      <c r="H52" s="59"/>
      <c r="I52" s="13"/>
      <c r="J52" s="13"/>
      <c r="K52" s="13"/>
    </row>
    <row r="53" spans="1:11" ht="12.75">
      <c r="A53" s="13"/>
      <c r="B53" s="60"/>
      <c r="C53" s="13"/>
      <c r="D53" s="60"/>
      <c r="E53" s="13"/>
      <c r="F53" s="13"/>
      <c r="G53" s="13"/>
      <c r="H53" s="59"/>
      <c r="I53" s="13"/>
      <c r="J53" s="13"/>
      <c r="K53" s="13"/>
    </row>
    <row r="54" spans="1:11" ht="12.75">
      <c r="A54" s="13"/>
      <c r="B54" s="60"/>
      <c r="C54" s="13"/>
      <c r="D54" s="60"/>
      <c r="E54" s="13"/>
      <c r="F54" s="13"/>
      <c r="G54" s="13"/>
      <c r="H54" s="59"/>
      <c r="I54" s="13"/>
      <c r="J54" s="13"/>
      <c r="K54" s="13"/>
    </row>
    <row r="55" spans="1:11" ht="12.75">
      <c r="A55" s="13"/>
      <c r="B55" s="13"/>
      <c r="C55" s="13"/>
      <c r="D55" s="60"/>
      <c r="E55" s="13"/>
      <c r="F55" s="13"/>
      <c r="G55" s="13"/>
      <c r="H55" s="59"/>
      <c r="I55" s="13"/>
      <c r="J55" s="13"/>
      <c r="K55" s="13"/>
    </row>
    <row r="56" spans="1:11" ht="12.75">
      <c r="A56" s="13"/>
      <c r="B56" s="13"/>
      <c r="C56" s="13"/>
      <c r="D56" s="60"/>
      <c r="E56" s="60"/>
      <c r="F56" s="60"/>
      <c r="G56" s="60"/>
      <c r="H56" s="61"/>
      <c r="I56" s="60"/>
      <c r="J56" s="60"/>
      <c r="K56" s="13"/>
    </row>
    <row r="57" spans="1:11" ht="12.75">
      <c r="A57" s="13"/>
      <c r="B57" s="13"/>
      <c r="C57" s="13"/>
      <c r="D57" s="60"/>
      <c r="E57" s="60"/>
      <c r="F57" s="60"/>
      <c r="G57" s="60"/>
      <c r="H57" s="61"/>
      <c r="I57" s="60"/>
      <c r="J57" s="60"/>
      <c r="K57" s="13"/>
    </row>
    <row r="58" spans="1:11" ht="12.75">
      <c r="A58" s="13"/>
      <c r="B58" s="13"/>
      <c r="C58" s="13"/>
      <c r="D58" s="60"/>
      <c r="E58" s="60"/>
      <c r="F58" s="60"/>
      <c r="G58" s="60"/>
      <c r="H58" s="61"/>
      <c r="I58" s="60"/>
      <c r="J58" s="60"/>
      <c r="K58" s="13"/>
    </row>
    <row r="59" spans="1:11" ht="12.75">
      <c r="A59" s="13"/>
      <c r="B59" s="13"/>
      <c r="C59" s="13"/>
      <c r="D59" s="60"/>
      <c r="E59" s="60"/>
      <c r="F59" s="60"/>
      <c r="G59" s="60"/>
      <c r="H59" s="61"/>
      <c r="I59" s="60"/>
      <c r="J59" s="60"/>
      <c r="K59" s="13"/>
    </row>
    <row r="60" spans="1:11" ht="12.75">
      <c r="A60" s="13"/>
      <c r="B60" s="13"/>
      <c r="C60" s="13"/>
      <c r="D60" s="60"/>
      <c r="E60" s="60"/>
      <c r="F60" s="60"/>
      <c r="G60" s="60"/>
      <c r="H60" s="61"/>
      <c r="I60" s="60"/>
      <c r="J60" s="60"/>
      <c r="K60" s="13"/>
    </row>
    <row r="61" spans="1:11" ht="12.75">
      <c r="A61" s="13"/>
      <c r="B61" s="13"/>
      <c r="C61" s="13"/>
      <c r="D61" s="60"/>
      <c r="E61" s="60"/>
      <c r="F61" s="60"/>
      <c r="G61" s="60"/>
      <c r="H61" s="61"/>
      <c r="I61" s="60"/>
      <c r="J61" s="60"/>
      <c r="K61" s="13"/>
    </row>
    <row r="62" spans="1:11" ht="12.75">
      <c r="A62" s="13"/>
      <c r="B62" s="13"/>
      <c r="C62" s="13"/>
      <c r="D62" s="60"/>
      <c r="E62" s="60"/>
      <c r="F62" s="60"/>
      <c r="G62" s="60"/>
      <c r="H62" s="61"/>
      <c r="I62" s="60"/>
      <c r="J62" s="60"/>
      <c r="K62" s="13"/>
    </row>
    <row r="63" spans="1:11" ht="12.75">
      <c r="A63" s="13"/>
      <c r="B63" s="62"/>
      <c r="C63" s="13"/>
      <c r="D63" s="60"/>
      <c r="E63" s="60"/>
      <c r="F63" s="60"/>
      <c r="G63" s="60"/>
      <c r="H63" s="61"/>
      <c r="I63" s="60"/>
      <c r="J63" s="60"/>
      <c r="K63" s="13"/>
    </row>
    <row r="64" spans="1:11" ht="12.75">
      <c r="A64" s="13"/>
      <c r="B64" s="62"/>
      <c r="C64" s="13"/>
      <c r="D64" s="60"/>
      <c r="E64" s="60"/>
      <c r="F64" s="60"/>
      <c r="G64" s="60"/>
      <c r="H64" s="61"/>
      <c r="I64" s="60"/>
      <c r="J64" s="60"/>
      <c r="K64" s="13"/>
    </row>
    <row r="65" spans="1:11" ht="12.75">
      <c r="A65" s="13"/>
      <c r="B65" s="62"/>
      <c r="C65" s="13"/>
      <c r="D65" s="60"/>
      <c r="E65" s="60"/>
      <c r="F65" s="60"/>
      <c r="G65" s="60"/>
      <c r="H65" s="61"/>
      <c r="I65" s="60"/>
      <c r="J65" s="60"/>
      <c r="K65" s="13"/>
    </row>
    <row r="66" spans="4:10" ht="12.75">
      <c r="D66" s="5"/>
      <c r="E66" s="5"/>
      <c r="F66" s="5"/>
      <c r="G66" s="5"/>
      <c r="H66" s="9"/>
      <c r="I66" s="5"/>
      <c r="J66" s="5"/>
    </row>
    <row r="67" spans="4:10" ht="12.75">
      <c r="D67" s="5"/>
      <c r="E67" s="5"/>
      <c r="F67" s="5"/>
      <c r="G67" s="5"/>
      <c r="H67" s="9"/>
      <c r="I67" s="5"/>
      <c r="J67" s="5"/>
    </row>
    <row r="68" spans="2:10" ht="12.75">
      <c r="B68" s="6"/>
      <c r="D68" s="5"/>
      <c r="E68" s="5"/>
      <c r="F68" s="5"/>
      <c r="G68" s="5"/>
      <c r="H68" s="9"/>
      <c r="I68" s="5"/>
      <c r="J68" s="5"/>
    </row>
    <row r="69" spans="2:10" ht="12.75">
      <c r="B69" s="6"/>
      <c r="D69" s="5"/>
      <c r="E69" s="5"/>
      <c r="F69" s="5"/>
      <c r="G69" s="5"/>
      <c r="H69" s="9"/>
      <c r="I69" s="5"/>
      <c r="J69" s="5"/>
    </row>
    <row r="70" spans="2:10" ht="12.75">
      <c r="B70" s="6"/>
      <c r="D70" s="5"/>
      <c r="E70" s="5"/>
      <c r="F70" s="5"/>
      <c r="G70" s="5"/>
      <c r="H70" s="9"/>
      <c r="I70" s="5"/>
      <c r="J70" s="5"/>
    </row>
    <row r="71" spans="2:10" ht="12.75">
      <c r="B71" s="6"/>
      <c r="D71" s="5"/>
      <c r="E71" s="5"/>
      <c r="F71" s="5"/>
      <c r="G71" s="5"/>
      <c r="H71" s="9"/>
      <c r="I71" s="5"/>
      <c r="J71" s="5"/>
    </row>
    <row r="72" spans="2:10" ht="12.75">
      <c r="B72" s="6"/>
      <c r="D72" s="5"/>
      <c r="E72" s="5"/>
      <c r="F72" s="5"/>
      <c r="G72" s="5"/>
      <c r="H72" s="9"/>
      <c r="I72" s="5"/>
      <c r="J72" s="5"/>
    </row>
    <row r="73" spans="2:10" ht="12.75">
      <c r="B73" s="6"/>
      <c r="D73" s="5"/>
      <c r="E73" s="5"/>
      <c r="F73" s="5"/>
      <c r="G73" s="5"/>
      <c r="H73" s="9"/>
      <c r="I73" s="5"/>
      <c r="J73" s="5"/>
    </row>
    <row r="74" spans="2:10" ht="12.75">
      <c r="B74" s="6"/>
      <c r="D74" s="5"/>
      <c r="E74" s="5"/>
      <c r="F74" s="5"/>
      <c r="G74" s="5"/>
      <c r="H74" s="9"/>
      <c r="I74" s="5"/>
      <c r="J74" s="5"/>
    </row>
    <row r="75" spans="2:10" ht="12.75">
      <c r="B75" s="6"/>
      <c r="D75" s="5"/>
      <c r="E75" s="5"/>
      <c r="F75" s="5"/>
      <c r="G75" s="5"/>
      <c r="H75" s="9"/>
      <c r="I75" s="5"/>
      <c r="J75" s="5"/>
    </row>
    <row r="76" spans="2:10" ht="12.75">
      <c r="B76" s="6"/>
      <c r="D76" s="5"/>
      <c r="E76" s="5"/>
      <c r="F76" s="5"/>
      <c r="G76" s="5"/>
      <c r="H76" s="9"/>
      <c r="I76" s="5"/>
      <c r="J76" s="5"/>
    </row>
    <row r="77" spans="2:10" ht="12.75">
      <c r="B77" s="6"/>
      <c r="D77" s="5"/>
      <c r="E77" s="5"/>
      <c r="F77" s="5"/>
      <c r="G77" s="5"/>
      <c r="H77" s="9"/>
      <c r="I77" s="5"/>
      <c r="J77" s="5"/>
    </row>
  </sheetData>
  <sheetProtection/>
  <mergeCells count="11">
    <mergeCell ref="A41:K41"/>
    <mergeCell ref="A44:K44"/>
    <mergeCell ref="K7:K8"/>
    <mergeCell ref="B7:B8"/>
    <mergeCell ref="C7:C8"/>
    <mergeCell ref="A2:K2"/>
    <mergeCell ref="A3:K3"/>
    <mergeCell ref="H7:H8"/>
    <mergeCell ref="A36:J36"/>
    <mergeCell ref="A39:J39"/>
    <mergeCell ref="A37:J37"/>
  </mergeCells>
  <printOptions/>
  <pageMargins left="0.96" right="0.2362204724409449" top="0.37" bottom="0.78" header="0" footer="0"/>
  <pageSetup horizontalDpi="300" verticalDpi="300" orientation="landscape" scale="8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2017-04-25T17:23:05Z</cp:lastPrinted>
  <dcterms:created xsi:type="dcterms:W3CDTF">2007-12-06T17:23:33Z</dcterms:created>
  <dcterms:modified xsi:type="dcterms:W3CDTF">2019-07-19T16:17:56Z</dcterms:modified>
  <cp:category/>
  <cp:version/>
  <cp:contentType/>
  <cp:contentStatus/>
</cp:coreProperties>
</file>