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MANGO" sheetId="1" r:id="rId1"/>
  </sheets>
  <definedNames>
    <definedName name="_Regression_Int" localSheetId="0" hidden="1">1</definedName>
    <definedName name="A_impresión_IM" localSheetId="0">'MANGO'!$A$2:$J$48</definedName>
  </definedNames>
  <calcPr fullCalcOnLoad="1"/>
</workbook>
</file>

<file path=xl/sharedStrings.xml><?xml version="1.0" encoding="utf-8"?>
<sst xmlns="http://schemas.openxmlformats.org/spreadsheetml/2006/main" count="74" uniqueCount="58">
  <si>
    <t xml:space="preserve">  ESTIMADO DE COSTO DE PRODUCCION PARA LA EXPLOTACION DE UNA TAREA  DE MANGO</t>
  </si>
  <si>
    <t xml:space="preserve">Valor </t>
  </si>
  <si>
    <t>1er. Año</t>
  </si>
  <si>
    <t>2do. Año</t>
  </si>
  <si>
    <t>3er. Año</t>
  </si>
  <si>
    <t>4-10 Año</t>
  </si>
  <si>
    <t>Costo</t>
  </si>
  <si>
    <t>Actividad</t>
  </si>
  <si>
    <t>Cantidad</t>
  </si>
  <si>
    <t>Unidad</t>
  </si>
  <si>
    <t>Unitario</t>
  </si>
  <si>
    <t>Total</t>
  </si>
  <si>
    <t>1- INSUMOS</t>
  </si>
  <si>
    <t xml:space="preserve">   .1 Compra de Plántulas de Siembra</t>
  </si>
  <si>
    <t>Planta</t>
  </si>
  <si>
    <t xml:space="preserve">   .2 Compra para la Resiembra</t>
  </si>
  <si>
    <t xml:space="preserve">   .3 Compra de Fertilizante </t>
  </si>
  <si>
    <t xml:space="preserve">      (15-15-15)</t>
  </si>
  <si>
    <t>Quintal</t>
  </si>
  <si>
    <t xml:space="preserve">   .4 Compra de Insecticida </t>
  </si>
  <si>
    <t>Litro</t>
  </si>
  <si>
    <t xml:space="preserve">   .5 Compra de Fungicida</t>
  </si>
  <si>
    <t>Kilo</t>
  </si>
  <si>
    <t>2-  PREPARACION DEL TERRENO</t>
  </si>
  <si>
    <t xml:space="preserve">   .1 Corte (Mecanizado)</t>
  </si>
  <si>
    <t>Tarea</t>
  </si>
  <si>
    <t xml:space="preserve">   .2 Cruce (Mecanizado)</t>
  </si>
  <si>
    <t xml:space="preserve">   .3 Rastra (Mecanicado)</t>
  </si>
  <si>
    <t>3-  MANO DE OBRA</t>
  </si>
  <si>
    <t xml:space="preserve">   .1  Marcado y Alineación</t>
  </si>
  <si>
    <t>Hom-Día</t>
  </si>
  <si>
    <t xml:space="preserve">   .2  Transporte de Planta</t>
  </si>
  <si>
    <t xml:space="preserve">   .3  Construcción de Hoyos Siembra</t>
  </si>
  <si>
    <t xml:space="preserve">   .4  Construccion de Hoyos Resiembra</t>
  </si>
  <si>
    <t xml:space="preserve">   .5  Transporte de Fertilizantes</t>
  </si>
  <si>
    <t xml:space="preserve">   .6  Aplicación de Fertilizantes</t>
  </si>
  <si>
    <t xml:space="preserve">   .7  Aplicación de Pesticidas</t>
  </si>
  <si>
    <t xml:space="preserve">   .8  Desyerbo</t>
  </si>
  <si>
    <t xml:space="preserve">   .9  Deschuponado y Poda</t>
  </si>
  <si>
    <t xml:space="preserve">   .10 Recolección y Empaque</t>
  </si>
  <si>
    <t xml:space="preserve">   SUBTOTAL</t>
  </si>
  <si>
    <t xml:space="preserve">   GASTOS ADMINISTRATIVOS (2%)</t>
  </si>
  <si>
    <t xml:space="preserve">   TOTAL GENERAL</t>
  </si>
  <si>
    <t>Participación (%) por Actividad</t>
  </si>
  <si>
    <t xml:space="preserve">      (Dithane  80 wp)</t>
  </si>
  <si>
    <t xml:space="preserve">      (Decis)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</si>
  <si>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</si>
  <si>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</si>
  <si>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</si>
  <si>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</si>
  <si>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 xml:space="preserve">Notas:  </t>
  </si>
  <si>
    <t>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</si>
  <si>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</si>
  <si>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</si>
  <si>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>Página 161</t>
  </si>
  <si>
    <t xml:space="preserve">   GASTOS INTERESES 8.0% ANUAL (12 meses 8.0%)</t>
  </si>
  <si>
    <t>REPUBLICA DOMINICANA, 2019.-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</si>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</sst>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#,##0.0_);\(#,##0.0\)"/>
    <numFmt numFmtId="190" formatCode="#,##0.000_);\(#,##0.000\)"/>
    <numFmt numFmtId="191" formatCode="_(* #,##0.000_);_(* \(#,##0.000\);_(* &quot;-&quot;??_);_(@_)"/>
    <numFmt numFmtId="192" formatCode="_(* #,##0.0000_);_(* \(#,##0.0000\);_(* &quot;-&quot;??_);_(@_)"/>
    <numFmt numFmtId="193" formatCode="#,##0.00_ ;\-#,##0.00\ "/>
    <numFmt numFmtId="194" formatCode="0_)"/>
  </numFmts>
  <fonts count="5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Baskerville Old Face"/>
      <family val="1"/>
    </font>
    <font>
      <sz val="9"/>
      <name val="Baskerville Old Face"/>
      <family val="1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9"/>
      <color indexed="8"/>
      <name val="Arial Narrow"/>
      <family val="2"/>
    </font>
    <font>
      <b/>
      <sz val="14"/>
      <color indexed="10"/>
      <name val="Arial Narrow"/>
      <family val="2"/>
    </font>
    <font>
      <sz val="10"/>
      <color indexed="9"/>
      <name val="Arial Narrow"/>
      <family val="2"/>
    </font>
    <font>
      <b/>
      <sz val="11"/>
      <color indexed="1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9"/>
      <color theme="1"/>
      <name val="Arial Narrow"/>
      <family val="2"/>
    </font>
    <font>
      <b/>
      <sz val="14"/>
      <color rgb="FFFF000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1"/>
      <color rgb="FF33EDC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186" fontId="0" fillId="0" borderId="0" xfId="0" applyAlignment="1">
      <alignment/>
    </xf>
    <xf numFmtId="186" fontId="5" fillId="0" borderId="0" xfId="0" applyFont="1" applyAlignment="1">
      <alignment/>
    </xf>
    <xf numFmtId="186" fontId="6" fillId="0" borderId="0" xfId="0" applyFont="1" applyFill="1" applyAlignment="1">
      <alignment/>
    </xf>
    <xf numFmtId="186" fontId="6" fillId="0" borderId="0" xfId="0" applyFont="1" applyAlignment="1">
      <alignment/>
    </xf>
    <xf numFmtId="186" fontId="8" fillId="0" borderId="0" xfId="0" applyFont="1" applyAlignment="1">
      <alignment/>
    </xf>
    <xf numFmtId="187" fontId="8" fillId="0" borderId="0" xfId="0" applyNumberFormat="1" applyFont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6" fontId="5" fillId="0" borderId="0" xfId="0" applyFont="1" applyFill="1" applyAlignment="1">
      <alignment/>
    </xf>
    <xf numFmtId="186" fontId="10" fillId="0" borderId="0" xfId="0" applyFont="1" applyAlignment="1">
      <alignment/>
    </xf>
    <xf numFmtId="187" fontId="10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7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194" fontId="9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left"/>
      <protection/>
    </xf>
    <xf numFmtId="186" fontId="9" fillId="33" borderId="10" xfId="0" applyFont="1" applyFill="1" applyBorder="1" applyAlignment="1">
      <alignment/>
    </xf>
    <xf numFmtId="187" fontId="9" fillId="33" borderId="10" xfId="0" applyNumberFormat="1" applyFont="1" applyFill="1" applyBorder="1" applyAlignment="1" applyProtection="1">
      <alignment/>
      <protection/>
    </xf>
    <xf numFmtId="186" fontId="9" fillId="33" borderId="10" xfId="0" applyFont="1" applyFill="1" applyBorder="1" applyAlignment="1" applyProtection="1">
      <alignment horizontal="center"/>
      <protection/>
    </xf>
    <xf numFmtId="39" fontId="9" fillId="33" borderId="10" xfId="0" applyNumberFormat="1" applyFont="1" applyFill="1" applyBorder="1" applyAlignment="1" applyProtection="1">
      <alignment/>
      <protection/>
    </xf>
    <xf numFmtId="43" fontId="7" fillId="33" borderId="10" xfId="47" applyFont="1" applyFill="1" applyBorder="1" applyAlignment="1">
      <alignment/>
    </xf>
    <xf numFmtId="192" fontId="9" fillId="33" borderId="10" xfId="47" applyNumberFormat="1" applyFont="1" applyFill="1" applyBorder="1" applyAlignment="1" applyProtection="1">
      <alignment/>
      <protection/>
    </xf>
    <xf numFmtId="186" fontId="9" fillId="33" borderId="10" xfId="0" applyFont="1" applyFill="1" applyBorder="1" applyAlignment="1">
      <alignment/>
    </xf>
    <xf numFmtId="186" fontId="9" fillId="33" borderId="10" xfId="0" applyFont="1" applyFill="1" applyBorder="1" applyAlignment="1" applyProtection="1">
      <alignment/>
      <protection/>
    </xf>
    <xf numFmtId="39" fontId="54" fillId="33" borderId="10" xfId="0" applyNumberFormat="1" applyFont="1" applyFill="1" applyBorder="1" applyAlignment="1" applyProtection="1">
      <alignment/>
      <protection/>
    </xf>
    <xf numFmtId="188" fontId="9" fillId="33" borderId="10" xfId="0" applyNumberFormat="1" applyFont="1" applyFill="1" applyBorder="1" applyAlignment="1" applyProtection="1">
      <alignment/>
      <protection/>
    </xf>
    <xf numFmtId="187" fontId="12" fillId="33" borderId="10" xfId="0" applyNumberFormat="1" applyFont="1" applyFill="1" applyBorder="1" applyAlignment="1" applyProtection="1">
      <alignment/>
      <protection/>
    </xf>
    <xf numFmtId="192" fontId="9" fillId="33" borderId="10" xfId="47" applyNumberFormat="1" applyFont="1" applyFill="1" applyBorder="1" applyAlignment="1" applyProtection="1">
      <alignment horizontal="right"/>
      <protection/>
    </xf>
    <xf numFmtId="186" fontId="9" fillId="33" borderId="0" xfId="0" applyFont="1" applyFill="1" applyBorder="1" applyAlignment="1">
      <alignment/>
    </xf>
    <xf numFmtId="186" fontId="10" fillId="33" borderId="0" xfId="0" applyFont="1" applyFill="1" applyBorder="1" applyAlignment="1">
      <alignment horizontal="centerContinuous"/>
    </xf>
    <xf numFmtId="186" fontId="8" fillId="33" borderId="0" xfId="0" applyFont="1" applyFill="1" applyBorder="1" applyAlignment="1">
      <alignment/>
    </xf>
    <xf numFmtId="186" fontId="10" fillId="33" borderId="0" xfId="0" applyFont="1" applyFill="1" applyBorder="1" applyAlignment="1">
      <alignment/>
    </xf>
    <xf numFmtId="186" fontId="9" fillId="33" borderId="10" xfId="0" applyFont="1" applyFill="1" applyBorder="1" applyAlignment="1" applyProtection="1">
      <alignment horizontal="left"/>
      <protection/>
    </xf>
    <xf numFmtId="9" fontId="8" fillId="33" borderId="11" xfId="53" applyFont="1" applyFill="1" applyBorder="1" applyAlignment="1">
      <alignment horizontal="center"/>
    </xf>
    <xf numFmtId="186" fontId="7" fillId="33" borderId="10" xfId="0" applyFont="1" applyFill="1" applyBorder="1" applyAlignment="1" applyProtection="1">
      <alignment horizontal="left"/>
      <protection/>
    </xf>
    <xf numFmtId="9" fontId="7" fillId="33" borderId="10" xfId="53" applyFont="1" applyFill="1" applyBorder="1" applyAlignment="1">
      <alignment horizontal="center"/>
    </xf>
    <xf numFmtId="186" fontId="9" fillId="33" borderId="12" xfId="0" applyFont="1" applyFill="1" applyBorder="1" applyAlignment="1" applyProtection="1">
      <alignment horizontal="left"/>
      <protection/>
    </xf>
    <xf numFmtId="192" fontId="9" fillId="33" borderId="12" xfId="47" applyNumberFormat="1" applyFont="1" applyFill="1" applyBorder="1" applyAlignment="1" applyProtection="1">
      <alignment horizontal="right"/>
      <protection/>
    </xf>
    <xf numFmtId="186" fontId="9" fillId="33" borderId="12" xfId="0" applyFont="1" applyFill="1" applyBorder="1" applyAlignment="1" applyProtection="1">
      <alignment horizontal="center"/>
      <protection/>
    </xf>
    <xf numFmtId="187" fontId="9" fillId="33" borderId="12" xfId="0" applyNumberFormat="1" applyFont="1" applyFill="1" applyBorder="1" applyAlignment="1" applyProtection="1">
      <alignment/>
      <protection/>
    </xf>
    <xf numFmtId="43" fontId="7" fillId="33" borderId="12" xfId="47" applyFont="1" applyFill="1" applyBorder="1" applyAlignment="1">
      <alignment/>
    </xf>
    <xf numFmtId="9" fontId="8" fillId="33" borderId="13" xfId="53" applyFont="1" applyFill="1" applyBorder="1" applyAlignment="1">
      <alignment horizontal="center"/>
    </xf>
    <xf numFmtId="186" fontId="7" fillId="33" borderId="14" xfId="0" applyFont="1" applyFill="1" applyBorder="1" applyAlignment="1" applyProtection="1">
      <alignment horizontal="left"/>
      <protection/>
    </xf>
    <xf numFmtId="186" fontId="9" fillId="33" borderId="15" xfId="0" applyFont="1" applyFill="1" applyBorder="1" applyAlignment="1">
      <alignment/>
    </xf>
    <xf numFmtId="39" fontId="7" fillId="33" borderId="16" xfId="0" applyNumberFormat="1" applyFont="1" applyFill="1" applyBorder="1" applyAlignment="1" applyProtection="1">
      <alignment/>
      <protection/>
    </xf>
    <xf numFmtId="186" fontId="9" fillId="33" borderId="17" xfId="0" applyFont="1" applyFill="1" applyBorder="1" applyAlignment="1" applyProtection="1">
      <alignment horizontal="left"/>
      <protection/>
    </xf>
    <xf numFmtId="9" fontId="7" fillId="33" borderId="16" xfId="53" applyFont="1" applyFill="1" applyBorder="1" applyAlignment="1" applyProtection="1">
      <alignment horizontal="center"/>
      <protection/>
    </xf>
    <xf numFmtId="186" fontId="55" fillId="0" borderId="0" xfId="0" applyFont="1" applyAlignment="1">
      <alignment/>
    </xf>
    <xf numFmtId="186" fontId="56" fillId="0" borderId="0" xfId="0" applyFont="1" applyAlignment="1">
      <alignment/>
    </xf>
    <xf numFmtId="186" fontId="57" fillId="0" borderId="0" xfId="0" applyFont="1" applyAlignment="1">
      <alignment/>
    </xf>
    <xf numFmtId="186" fontId="7" fillId="34" borderId="18" xfId="0" applyFont="1" applyFill="1" applyBorder="1" applyAlignment="1">
      <alignment/>
    </xf>
    <xf numFmtId="186" fontId="7" fillId="34" borderId="19" xfId="0" applyFont="1" applyFill="1" applyBorder="1" applyAlignment="1">
      <alignment/>
    </xf>
    <xf numFmtId="186" fontId="7" fillId="34" borderId="19" xfId="0" applyFont="1" applyFill="1" applyBorder="1" applyAlignment="1" applyProtection="1">
      <alignment horizontal="center"/>
      <protection/>
    </xf>
    <xf numFmtId="186" fontId="7" fillId="34" borderId="20" xfId="0" applyFont="1" applyFill="1" applyBorder="1" applyAlignment="1" applyProtection="1">
      <alignment horizontal="center"/>
      <protection/>
    </xf>
    <xf numFmtId="186" fontId="7" fillId="34" borderId="21" xfId="0" applyFont="1" applyFill="1" applyBorder="1" applyAlignment="1" applyProtection="1">
      <alignment horizontal="left" vertical="center"/>
      <protection/>
    </xf>
    <xf numFmtId="186" fontId="7" fillId="34" borderId="22" xfId="0" applyFont="1" applyFill="1" applyBorder="1" applyAlignment="1" applyProtection="1">
      <alignment horizontal="left"/>
      <protection/>
    </xf>
    <xf numFmtId="186" fontId="7" fillId="34" borderId="23" xfId="0" applyFont="1" applyFill="1" applyBorder="1" applyAlignment="1">
      <alignment/>
    </xf>
    <xf numFmtId="39" fontId="7" fillId="34" borderId="24" xfId="0" applyNumberFormat="1" applyFont="1" applyFill="1" applyBorder="1" applyAlignment="1" applyProtection="1">
      <alignment/>
      <protection/>
    </xf>
    <xf numFmtId="9" fontId="7" fillId="34" borderId="24" xfId="53" applyFont="1" applyFill="1" applyBorder="1" applyAlignment="1" applyProtection="1">
      <alignment/>
      <protection/>
    </xf>
    <xf numFmtId="186" fontId="13" fillId="33" borderId="0" xfId="0" applyFont="1" applyFill="1" applyBorder="1" applyAlignment="1" applyProtection="1">
      <alignment horizontal="center" vertical="center"/>
      <protection/>
    </xf>
    <xf numFmtId="186" fontId="58" fillId="34" borderId="0" xfId="0" applyFont="1" applyFill="1" applyBorder="1" applyAlignment="1">
      <alignment horizontal="center" vertical="center"/>
    </xf>
    <xf numFmtId="186" fontId="14" fillId="34" borderId="19" xfId="0" applyFont="1" applyFill="1" applyBorder="1" applyAlignment="1" applyProtection="1">
      <alignment horizontal="center" vertical="justify"/>
      <protection/>
    </xf>
    <xf numFmtId="186" fontId="14" fillId="34" borderId="20" xfId="0" applyFont="1" applyFill="1" applyBorder="1" applyAlignment="1" applyProtection="1">
      <alignment horizontal="center" vertical="justify"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left" wrapText="1"/>
      <protection/>
    </xf>
    <xf numFmtId="186" fontId="9" fillId="33" borderId="0" xfId="0" applyFont="1" applyFill="1" applyAlignment="1">
      <alignment horizontal="left" wrapText="1"/>
    </xf>
    <xf numFmtId="0" fontId="9" fillId="0" borderId="0" xfId="0" applyNumberFormat="1" applyFont="1" applyAlignment="1">
      <alignment horizontal="left"/>
    </xf>
    <xf numFmtId="186" fontId="9" fillId="0" borderId="0" xfId="0" applyFont="1" applyAlignment="1">
      <alignment horizontal="center"/>
    </xf>
    <xf numFmtId="186" fontId="8" fillId="34" borderId="25" xfId="0" applyFont="1" applyFill="1" applyBorder="1" applyAlignment="1">
      <alignment horizontal="center" vertical="justify"/>
    </xf>
    <xf numFmtId="186" fontId="8" fillId="34" borderId="26" xfId="0" applyFont="1" applyFill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1"/>
  <sheetViews>
    <sheetView showGridLines="0" tabSelected="1" zoomScalePageLayoutView="0" workbookViewId="0" topLeftCell="A13">
      <selection activeCell="D25" sqref="D25"/>
    </sheetView>
  </sheetViews>
  <sheetFormatPr defaultColWidth="9.625" defaultRowHeight="12.75"/>
  <cols>
    <col min="1" max="1" width="28.125" style="4" customWidth="1"/>
    <col min="2" max="2" width="9.125" style="4" customWidth="1"/>
    <col min="3" max="4" width="8.125" style="4" customWidth="1"/>
    <col min="5" max="5" width="8.625" style="4" customWidth="1"/>
    <col min="6" max="6" width="8.25390625" style="4" customWidth="1"/>
    <col min="7" max="7" width="8.375" style="4" customWidth="1"/>
    <col min="8" max="8" width="10.75390625" style="8" customWidth="1"/>
    <col min="9" max="10" width="9.375" style="4" customWidth="1"/>
    <col min="11" max="11" width="10.375" style="4" customWidth="1"/>
    <col min="12" max="16384" width="9.625" style="4" customWidth="1"/>
  </cols>
  <sheetData>
    <row r="1" spans="1:11" ht="4.5" customHeight="1">
      <c r="A1" s="31"/>
      <c r="B1" s="31"/>
      <c r="C1" s="31"/>
      <c r="D1" s="31"/>
      <c r="E1" s="31"/>
      <c r="F1" s="31"/>
      <c r="G1" s="31"/>
      <c r="H1" s="32"/>
      <c r="I1" s="31"/>
      <c r="J1" s="31"/>
      <c r="K1" s="31"/>
    </row>
    <row r="2" spans="1:11" s="1" customFormat="1" ht="18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" customFormat="1" ht="11.2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7" customFormat="1" ht="2.25" customHeight="1">
      <c r="A4" s="61">
        <v>175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2" customFormat="1" ht="12.7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3" customFormat="1" ht="14.25" customHeight="1">
      <c r="A6" s="51"/>
      <c r="B6" s="52"/>
      <c r="C6" s="52"/>
      <c r="D6" s="53" t="s">
        <v>1</v>
      </c>
      <c r="E6" s="53" t="s">
        <v>2</v>
      </c>
      <c r="F6" s="53" t="s">
        <v>3</v>
      </c>
      <c r="G6" s="53" t="s">
        <v>4</v>
      </c>
      <c r="H6" s="62" t="s">
        <v>46</v>
      </c>
      <c r="I6" s="53" t="s">
        <v>5</v>
      </c>
      <c r="J6" s="53" t="s">
        <v>6</v>
      </c>
      <c r="K6" s="69" t="s">
        <v>43</v>
      </c>
    </row>
    <row r="7" spans="1:11" ht="30.75" customHeight="1" thickBot="1">
      <c r="A7" s="55" t="s">
        <v>7</v>
      </c>
      <c r="B7" s="54" t="s">
        <v>8</v>
      </c>
      <c r="C7" s="54" t="s">
        <v>9</v>
      </c>
      <c r="D7" s="54" t="s">
        <v>10</v>
      </c>
      <c r="E7" s="54" t="s">
        <v>6</v>
      </c>
      <c r="F7" s="54" t="s">
        <v>6</v>
      </c>
      <c r="G7" s="54" t="s">
        <v>6</v>
      </c>
      <c r="H7" s="63"/>
      <c r="I7" s="54" t="s">
        <v>6</v>
      </c>
      <c r="J7" s="54" t="s">
        <v>11</v>
      </c>
      <c r="K7" s="70"/>
    </row>
    <row r="8" spans="1:12" ht="21" customHeight="1">
      <c r="A8" s="35" t="s">
        <v>12</v>
      </c>
      <c r="B8" s="17"/>
      <c r="C8" s="17"/>
      <c r="D8" s="21"/>
      <c r="E8" s="21">
        <f>SUM(E9:E16)</f>
        <v>404.89845656250003</v>
      </c>
      <c r="F8" s="21">
        <f aca="true" t="shared" si="0" ref="F8:K8">SUM(F9:F16)</f>
        <v>167.4061011375</v>
      </c>
      <c r="G8" s="21">
        <f t="shared" si="0"/>
        <v>13.6845268875</v>
      </c>
      <c r="H8" s="21">
        <f t="shared" si="0"/>
        <v>585.9890845875</v>
      </c>
      <c r="I8" s="21">
        <f t="shared" si="0"/>
        <v>162.1388779125</v>
      </c>
      <c r="J8" s="21">
        <f t="shared" si="0"/>
        <v>748.1279625000001</v>
      </c>
      <c r="K8" s="36">
        <f t="shared" si="0"/>
        <v>0.12330017946628449</v>
      </c>
      <c r="L8" s="48"/>
    </row>
    <row r="9" spans="1:11" ht="13.5">
      <c r="A9" s="33" t="s">
        <v>13</v>
      </c>
      <c r="B9" s="18">
        <v>10</v>
      </c>
      <c r="C9" s="19" t="s">
        <v>14</v>
      </c>
      <c r="D9" s="20">
        <v>40</v>
      </c>
      <c r="E9" s="18">
        <f>(D9*B9)</f>
        <v>400</v>
      </c>
      <c r="F9" s="17"/>
      <c r="G9" s="17"/>
      <c r="H9" s="21">
        <f>SUM(E9:G9)</f>
        <v>400</v>
      </c>
      <c r="I9" s="17"/>
      <c r="J9" s="18">
        <f>(D9*B9)</f>
        <v>400</v>
      </c>
      <c r="K9" s="34">
        <f>J9/J$38</f>
        <v>0.06592464693032216</v>
      </c>
    </row>
    <row r="10" spans="1:11" ht="13.5">
      <c r="A10" s="33" t="s">
        <v>15</v>
      </c>
      <c r="B10" s="18">
        <v>4</v>
      </c>
      <c r="C10" s="19" t="s">
        <v>14</v>
      </c>
      <c r="D10" s="20">
        <v>40</v>
      </c>
      <c r="E10" s="18"/>
      <c r="F10" s="18">
        <f>(D10*B10)</f>
        <v>160</v>
      </c>
      <c r="G10" s="17"/>
      <c r="H10" s="21">
        <f aca="true" t="shared" si="1" ref="H10:H32">SUM(E10:G10)</f>
        <v>160</v>
      </c>
      <c r="I10" s="17"/>
      <c r="J10" s="18">
        <f>(D10*B10)</f>
        <v>160</v>
      </c>
      <c r="K10" s="34">
        <f>J10/J$38</f>
        <v>0.02636985877212886</v>
      </c>
    </row>
    <row r="11" spans="1:11" ht="13.5">
      <c r="A11" s="33" t="s">
        <v>16</v>
      </c>
      <c r="B11" s="17"/>
      <c r="C11" s="17"/>
      <c r="D11" s="20"/>
      <c r="E11" s="17"/>
      <c r="F11" s="17"/>
      <c r="G11" s="17"/>
      <c r="H11" s="21">
        <f t="shared" si="1"/>
        <v>0</v>
      </c>
      <c r="I11" s="17"/>
      <c r="J11" s="17"/>
      <c r="K11" s="34"/>
    </row>
    <row r="12" spans="1:11" ht="13.5">
      <c r="A12" s="33" t="s">
        <v>17</v>
      </c>
      <c r="B12" s="22">
        <v>0.1179</v>
      </c>
      <c r="C12" s="19" t="s">
        <v>18</v>
      </c>
      <c r="D12" s="20">
        <v>1181.625</v>
      </c>
      <c r="E12" s="18">
        <f>(J12*0.025)</f>
        <v>3.4828396875000003</v>
      </c>
      <c r="F12" s="18">
        <f>(J12*0.043)</f>
        <v>5.9904842625</v>
      </c>
      <c r="G12" s="18">
        <f>(J12*0.073)</f>
        <v>10.1698918875</v>
      </c>
      <c r="H12" s="21">
        <f t="shared" si="1"/>
        <v>19.6432158375</v>
      </c>
      <c r="I12" s="18">
        <f>(J12*0.859)</f>
        <v>119.6703716625</v>
      </c>
      <c r="J12" s="18">
        <f>(D12*B12)</f>
        <v>139.3135875</v>
      </c>
      <c r="K12" s="34">
        <f>J12/J$38</f>
        <v>0.022960497671335105</v>
      </c>
    </row>
    <row r="13" spans="1:11" ht="13.5">
      <c r="A13" s="33" t="s">
        <v>19</v>
      </c>
      <c r="B13" s="23"/>
      <c r="C13" s="17"/>
      <c r="D13" s="20"/>
      <c r="E13" s="18"/>
      <c r="F13" s="18"/>
      <c r="G13" s="18"/>
      <c r="H13" s="21">
        <f t="shared" si="1"/>
        <v>0</v>
      </c>
      <c r="I13" s="18"/>
      <c r="J13" s="18"/>
      <c r="K13" s="34"/>
    </row>
    <row r="14" spans="1:11" ht="13.5">
      <c r="A14" s="33" t="s">
        <v>45</v>
      </c>
      <c r="B14" s="24">
        <f>3/160</f>
        <v>0.01875</v>
      </c>
      <c r="C14" s="19" t="s">
        <v>20</v>
      </c>
      <c r="D14" s="20">
        <v>1506.1</v>
      </c>
      <c r="E14" s="18">
        <f>(J14*0.029)</f>
        <v>0.818941875</v>
      </c>
      <c r="F14" s="18">
        <f>(J14*0.029)</f>
        <v>0.818941875</v>
      </c>
      <c r="G14" s="18">
        <f>(J14*0.072)</f>
        <v>2.033235</v>
      </c>
      <c r="H14" s="21">
        <f t="shared" si="1"/>
        <v>3.6711187499999998</v>
      </c>
      <c r="I14" s="18">
        <f>(J14*0.87)</f>
        <v>24.568256249999997</v>
      </c>
      <c r="J14" s="18">
        <f>(D14*B14)</f>
        <v>28.239375</v>
      </c>
      <c r="K14" s="34">
        <f>J14/J$38</f>
        <v>0.004654177066019915</v>
      </c>
    </row>
    <row r="15" spans="1:11" ht="13.5">
      <c r="A15" s="33" t="s">
        <v>21</v>
      </c>
      <c r="B15" s="23"/>
      <c r="C15" s="17"/>
      <c r="D15" s="20"/>
      <c r="E15" s="18"/>
      <c r="F15" s="18"/>
      <c r="G15" s="18"/>
      <c r="H15" s="21">
        <f t="shared" si="1"/>
        <v>0</v>
      </c>
      <c r="I15" s="18"/>
      <c r="J15" s="18"/>
      <c r="K15" s="34"/>
    </row>
    <row r="16" spans="1:11" ht="13.5">
      <c r="A16" s="33" t="s">
        <v>44</v>
      </c>
      <c r="B16" s="22">
        <f>1/20</f>
        <v>0.05</v>
      </c>
      <c r="C16" s="19" t="s">
        <v>22</v>
      </c>
      <c r="D16" s="25">
        <v>411.5</v>
      </c>
      <c r="E16" s="18">
        <f>(J16*0.029)</f>
        <v>0.5966750000000001</v>
      </c>
      <c r="F16" s="18">
        <f>(J16*0.029)</f>
        <v>0.5966750000000001</v>
      </c>
      <c r="G16" s="18">
        <f>(J16*0.072)</f>
        <v>1.4814</v>
      </c>
      <c r="H16" s="21">
        <f t="shared" si="1"/>
        <v>2.6747500000000004</v>
      </c>
      <c r="I16" s="18">
        <f>(J16*0.87)</f>
        <v>17.900250000000003</v>
      </c>
      <c r="J16" s="18">
        <f>(D16*B16)</f>
        <v>20.575000000000003</v>
      </c>
      <c r="K16" s="34">
        <f>J16/J$38</f>
        <v>0.003390999026478446</v>
      </c>
    </row>
    <row r="17" spans="1:11" ht="2.25" customHeight="1">
      <c r="A17" s="17"/>
      <c r="B17" s="17"/>
      <c r="C17" s="17"/>
      <c r="D17" s="17"/>
      <c r="E17" s="18"/>
      <c r="F17" s="18"/>
      <c r="G17" s="18"/>
      <c r="H17" s="21">
        <f t="shared" si="1"/>
        <v>0</v>
      </c>
      <c r="I17" s="18"/>
      <c r="J17" s="18"/>
      <c r="K17" s="34">
        <f>J17/J$38</f>
        <v>0</v>
      </c>
    </row>
    <row r="18" spans="1:11" ht="18" customHeight="1">
      <c r="A18" s="35" t="s">
        <v>23</v>
      </c>
      <c r="B18" s="17"/>
      <c r="C18" s="17"/>
      <c r="D18" s="21"/>
      <c r="E18" s="21">
        <f>SUM(E19:E21)</f>
        <v>650</v>
      </c>
      <c r="F18" s="21">
        <f aca="true" t="shared" si="2" ref="F18:K18">SUM(F19:F21)</f>
        <v>0</v>
      </c>
      <c r="G18" s="21">
        <f t="shared" si="2"/>
        <v>0</v>
      </c>
      <c r="H18" s="21">
        <f t="shared" si="2"/>
        <v>650</v>
      </c>
      <c r="I18" s="21">
        <f t="shared" si="2"/>
        <v>0</v>
      </c>
      <c r="J18" s="21">
        <f t="shared" si="2"/>
        <v>650</v>
      </c>
      <c r="K18" s="36">
        <f t="shared" si="2"/>
        <v>0.1071275512617735</v>
      </c>
    </row>
    <row r="19" spans="1:11" ht="13.5">
      <c r="A19" s="33" t="s">
        <v>24</v>
      </c>
      <c r="B19" s="26">
        <v>1</v>
      </c>
      <c r="C19" s="19" t="s">
        <v>25</v>
      </c>
      <c r="D19" s="27">
        <v>250</v>
      </c>
      <c r="E19" s="18">
        <f>D19*B19</f>
        <v>250</v>
      </c>
      <c r="F19" s="18"/>
      <c r="G19" s="18"/>
      <c r="H19" s="21">
        <f t="shared" si="1"/>
        <v>250</v>
      </c>
      <c r="I19" s="18"/>
      <c r="J19" s="18">
        <f>(D19*B19)</f>
        <v>250</v>
      </c>
      <c r="K19" s="34">
        <f>J19/J$38</f>
        <v>0.041202904331451344</v>
      </c>
    </row>
    <row r="20" spans="1:11" ht="13.5">
      <c r="A20" s="33" t="s">
        <v>26</v>
      </c>
      <c r="B20" s="26">
        <v>1</v>
      </c>
      <c r="C20" s="19" t="s">
        <v>25</v>
      </c>
      <c r="D20" s="27">
        <v>200</v>
      </c>
      <c r="E20" s="18">
        <f>D20*B20</f>
        <v>200</v>
      </c>
      <c r="F20" s="18"/>
      <c r="G20" s="18"/>
      <c r="H20" s="21">
        <f t="shared" si="1"/>
        <v>200</v>
      </c>
      <c r="I20" s="18"/>
      <c r="J20" s="18">
        <f>(D20*B20)</f>
        <v>200</v>
      </c>
      <c r="K20" s="34">
        <f>J20/J$38</f>
        <v>0.03296232346516108</v>
      </c>
    </row>
    <row r="21" spans="1:11" ht="13.5">
      <c r="A21" s="33" t="s">
        <v>27</v>
      </c>
      <c r="B21" s="26">
        <v>1</v>
      </c>
      <c r="C21" s="19" t="s">
        <v>25</v>
      </c>
      <c r="D21" s="27">
        <v>200</v>
      </c>
      <c r="E21" s="18">
        <f>D21*B21</f>
        <v>200</v>
      </c>
      <c r="F21" s="18"/>
      <c r="G21" s="18"/>
      <c r="H21" s="21">
        <f t="shared" si="1"/>
        <v>200</v>
      </c>
      <c r="I21" s="18"/>
      <c r="J21" s="18">
        <f>(D21*B21)</f>
        <v>200</v>
      </c>
      <c r="K21" s="34">
        <f>J21/J$38</f>
        <v>0.03296232346516108</v>
      </c>
    </row>
    <row r="22" spans="1:11" ht="3" customHeight="1">
      <c r="A22" s="17"/>
      <c r="B22" s="17"/>
      <c r="C22" s="17"/>
      <c r="D22" s="17"/>
      <c r="E22" s="18">
        <f>D22*B22</f>
        <v>0</v>
      </c>
      <c r="F22" s="18"/>
      <c r="G22" s="18"/>
      <c r="H22" s="21">
        <f t="shared" si="1"/>
        <v>0</v>
      </c>
      <c r="I22" s="18"/>
      <c r="J22" s="18"/>
      <c r="K22" s="34">
        <f>J22/J$38</f>
        <v>0</v>
      </c>
    </row>
    <row r="23" spans="1:11" ht="16.5" customHeight="1">
      <c r="A23" s="35" t="s">
        <v>28</v>
      </c>
      <c r="B23" s="17"/>
      <c r="C23" s="17"/>
      <c r="D23" s="17"/>
      <c r="E23" s="21">
        <f>SUM(E24:E33)</f>
        <v>536.4732</v>
      </c>
      <c r="F23" s="21">
        <f aca="true" t="shared" si="3" ref="F23:K23">SUM(F24:F33)</f>
        <v>190.03570000000002</v>
      </c>
      <c r="G23" s="21">
        <f t="shared" si="3"/>
        <v>215.78820000000002</v>
      </c>
      <c r="H23" s="21">
        <f t="shared" si="3"/>
        <v>942.2971000000001</v>
      </c>
      <c r="I23" s="21">
        <f>SUM(I24:I33)</f>
        <v>3167.5029000000004</v>
      </c>
      <c r="J23" s="21">
        <f t="shared" si="3"/>
        <v>4109.8</v>
      </c>
      <c r="K23" s="36">
        <f t="shared" si="3"/>
        <v>0.677342784885595</v>
      </c>
    </row>
    <row r="24" spans="1:11" ht="23.25" customHeight="1">
      <c r="A24" s="33" t="s">
        <v>29</v>
      </c>
      <c r="B24" s="28">
        <v>0.126</v>
      </c>
      <c r="C24" s="19" t="s">
        <v>30</v>
      </c>
      <c r="D24" s="18">
        <v>500</v>
      </c>
      <c r="E24" s="18">
        <f>(D24*B24)</f>
        <v>63</v>
      </c>
      <c r="F24" s="18"/>
      <c r="G24" s="18"/>
      <c r="H24" s="21">
        <f t="shared" si="1"/>
        <v>63</v>
      </c>
      <c r="I24" s="18"/>
      <c r="J24" s="18">
        <f aca="true" t="shared" si="4" ref="J24:J33">(D24*B24)</f>
        <v>63</v>
      </c>
      <c r="K24" s="34">
        <f aca="true" t="shared" si="5" ref="K24:K33">J24/J$38</f>
        <v>0.010383131891525739</v>
      </c>
    </row>
    <row r="25" spans="1:11" ht="14.25" customHeight="1">
      <c r="A25" s="33" t="s">
        <v>31</v>
      </c>
      <c r="B25" s="28">
        <v>0.188</v>
      </c>
      <c r="C25" s="19" t="s">
        <v>30</v>
      </c>
      <c r="D25" s="18">
        <f>+D24</f>
        <v>500</v>
      </c>
      <c r="E25" s="18">
        <f>(J25*0.904)</f>
        <v>84.976</v>
      </c>
      <c r="F25" s="18">
        <f>(J25*0.096)</f>
        <v>9.024000000000001</v>
      </c>
      <c r="G25" s="18"/>
      <c r="H25" s="21">
        <f t="shared" si="1"/>
        <v>94</v>
      </c>
      <c r="I25" s="18"/>
      <c r="J25" s="18">
        <f t="shared" si="4"/>
        <v>94</v>
      </c>
      <c r="K25" s="34">
        <f t="shared" si="5"/>
        <v>0.015492292028625705</v>
      </c>
    </row>
    <row r="26" spans="1:11" ht="15" customHeight="1">
      <c r="A26" s="33" t="s">
        <v>32</v>
      </c>
      <c r="B26" s="28">
        <v>0.5</v>
      </c>
      <c r="C26" s="19" t="s">
        <v>30</v>
      </c>
      <c r="D26" s="18">
        <f aca="true" t="shared" si="6" ref="D26:D33">+D25</f>
        <v>500</v>
      </c>
      <c r="E26" s="18">
        <f>(D26*B26)</f>
        <v>250</v>
      </c>
      <c r="F26" s="18"/>
      <c r="G26" s="18"/>
      <c r="H26" s="21">
        <f t="shared" si="1"/>
        <v>250</v>
      </c>
      <c r="I26" s="18"/>
      <c r="J26" s="18">
        <f t="shared" si="4"/>
        <v>250</v>
      </c>
      <c r="K26" s="34">
        <f t="shared" si="5"/>
        <v>0.041202904331451344</v>
      </c>
    </row>
    <row r="27" spans="1:11" ht="13.5" customHeight="1">
      <c r="A27" s="33" t="s">
        <v>33</v>
      </c>
      <c r="B27" s="28">
        <v>0.056</v>
      </c>
      <c r="C27" s="19" t="s">
        <v>30</v>
      </c>
      <c r="D27" s="18">
        <f t="shared" si="6"/>
        <v>500</v>
      </c>
      <c r="E27" s="18"/>
      <c r="F27" s="18">
        <f>(D27*B27)</f>
        <v>28</v>
      </c>
      <c r="G27" s="18"/>
      <c r="H27" s="21">
        <f t="shared" si="1"/>
        <v>28</v>
      </c>
      <c r="I27" s="18"/>
      <c r="J27" s="18">
        <f t="shared" si="4"/>
        <v>28</v>
      </c>
      <c r="K27" s="34">
        <f t="shared" si="5"/>
        <v>0.004614725285122551</v>
      </c>
    </row>
    <row r="28" spans="1:11" ht="18.75" customHeight="1">
      <c r="A28" s="33" t="s">
        <v>34</v>
      </c>
      <c r="B28" s="28">
        <v>0.932</v>
      </c>
      <c r="C28" s="19" t="s">
        <v>30</v>
      </c>
      <c r="D28" s="18">
        <f t="shared" si="6"/>
        <v>500</v>
      </c>
      <c r="E28" s="18">
        <f>(J28*0.026)</f>
        <v>12.116</v>
      </c>
      <c r="F28" s="18">
        <f>(J28*0.043)</f>
        <v>20.037999999999997</v>
      </c>
      <c r="G28" s="18">
        <f>(J28*0.073)</f>
        <v>34.018</v>
      </c>
      <c r="H28" s="21">
        <f t="shared" si="1"/>
        <v>66.172</v>
      </c>
      <c r="I28" s="18">
        <f>(J28*0.858)</f>
        <v>399.828</v>
      </c>
      <c r="J28" s="18">
        <f t="shared" si="4"/>
        <v>466</v>
      </c>
      <c r="K28" s="34">
        <f t="shared" si="5"/>
        <v>0.07680221367382531</v>
      </c>
    </row>
    <row r="29" spans="1:11" ht="16.5" customHeight="1">
      <c r="A29" s="33" t="s">
        <v>35</v>
      </c>
      <c r="B29" s="28">
        <v>0.2549</v>
      </c>
      <c r="C29" s="19" t="s">
        <v>30</v>
      </c>
      <c r="D29" s="18">
        <f t="shared" si="6"/>
        <v>500</v>
      </c>
      <c r="E29" s="18">
        <f>(J29*0.048)</f>
        <v>6.1176</v>
      </c>
      <c r="F29" s="18">
        <f>(J29*0.078)</f>
        <v>9.9411</v>
      </c>
      <c r="G29" s="18">
        <f>(J29*0.078)</f>
        <v>9.9411</v>
      </c>
      <c r="H29" s="21">
        <f t="shared" si="1"/>
        <v>25.9998</v>
      </c>
      <c r="I29" s="18">
        <f>(J29*0.796)</f>
        <v>101.45020000000001</v>
      </c>
      <c r="J29" s="18">
        <f t="shared" si="4"/>
        <v>127.45</v>
      </c>
      <c r="K29" s="34">
        <f t="shared" si="5"/>
        <v>0.021005240628173896</v>
      </c>
    </row>
    <row r="30" spans="1:11" ht="17.25" customHeight="1">
      <c r="A30" s="33" t="s">
        <v>36</v>
      </c>
      <c r="B30" s="28">
        <v>0.279</v>
      </c>
      <c r="C30" s="19" t="s">
        <v>30</v>
      </c>
      <c r="D30" s="18">
        <f t="shared" si="6"/>
        <v>500</v>
      </c>
      <c r="E30" s="18">
        <f>(J30*0.046)</f>
        <v>6.417</v>
      </c>
      <c r="F30" s="18">
        <f>(J30*0.052)</f>
        <v>7.254</v>
      </c>
      <c r="G30" s="18">
        <f>(J30*0.059)</f>
        <v>8.2305</v>
      </c>
      <c r="H30" s="21">
        <f t="shared" si="1"/>
        <v>21.9015</v>
      </c>
      <c r="I30" s="18">
        <f>(J30*0.843)</f>
        <v>117.5985</v>
      </c>
      <c r="J30" s="18">
        <f t="shared" si="4"/>
        <v>139.5</v>
      </c>
      <c r="K30" s="34">
        <f t="shared" si="5"/>
        <v>0.022991220616949852</v>
      </c>
    </row>
    <row r="31" spans="1:11" ht="15" customHeight="1">
      <c r="A31" s="33" t="s">
        <v>37</v>
      </c>
      <c r="B31" s="28">
        <v>1.4077</v>
      </c>
      <c r="C31" s="19" t="s">
        <v>30</v>
      </c>
      <c r="D31" s="18">
        <f t="shared" si="6"/>
        <v>500</v>
      </c>
      <c r="E31" s="18">
        <f>(J31*0.116)</f>
        <v>81.6466</v>
      </c>
      <c r="F31" s="18">
        <f>(J31*0.116)</f>
        <v>81.6466</v>
      </c>
      <c r="G31" s="18">
        <f>(J31*0.116)</f>
        <v>81.6466</v>
      </c>
      <c r="H31" s="21">
        <f t="shared" si="1"/>
        <v>244.93980000000002</v>
      </c>
      <c r="I31" s="18">
        <f>(J31*0.652)</f>
        <v>458.91020000000003</v>
      </c>
      <c r="J31" s="18">
        <f t="shared" si="4"/>
        <v>703.85</v>
      </c>
      <c r="K31" s="34">
        <f t="shared" si="5"/>
        <v>0.11600265685476813</v>
      </c>
    </row>
    <row r="32" spans="1:11" ht="19.5" customHeight="1">
      <c r="A32" s="33" t="s">
        <v>38</v>
      </c>
      <c r="B32" s="28">
        <v>1.288</v>
      </c>
      <c r="C32" s="19" t="s">
        <v>30</v>
      </c>
      <c r="D32" s="18">
        <f t="shared" si="6"/>
        <v>500</v>
      </c>
      <c r="E32" s="18">
        <f>(J32*0.05)</f>
        <v>32.2</v>
      </c>
      <c r="F32" s="18">
        <f>(J32*0.053)</f>
        <v>34.132</v>
      </c>
      <c r="G32" s="18">
        <f>(J32*0.053)</f>
        <v>34.132</v>
      </c>
      <c r="H32" s="21">
        <f t="shared" si="1"/>
        <v>100.464</v>
      </c>
      <c r="I32" s="18">
        <f>(J32*0.844)</f>
        <v>543.536</v>
      </c>
      <c r="J32" s="18">
        <f t="shared" si="4"/>
        <v>644</v>
      </c>
      <c r="K32" s="34">
        <f t="shared" si="5"/>
        <v>0.10613868155781866</v>
      </c>
    </row>
    <row r="33" spans="1:11" ht="21.75" customHeight="1">
      <c r="A33" s="37" t="s">
        <v>39</v>
      </c>
      <c r="B33" s="38">
        <v>3.188</v>
      </c>
      <c r="C33" s="39" t="s">
        <v>30</v>
      </c>
      <c r="D33" s="40">
        <f t="shared" si="6"/>
        <v>500</v>
      </c>
      <c r="E33" s="40"/>
      <c r="F33" s="40"/>
      <c r="G33" s="40">
        <f>(J33*0.03)</f>
        <v>47.82</v>
      </c>
      <c r="H33" s="41">
        <f>SUM(E33:G33)</f>
        <v>47.82</v>
      </c>
      <c r="I33" s="40">
        <f>(J33*0.97)</f>
        <v>1546.18</v>
      </c>
      <c r="J33" s="40">
        <f t="shared" si="4"/>
        <v>1594</v>
      </c>
      <c r="K33" s="42">
        <f t="shared" si="5"/>
        <v>0.2627097180173338</v>
      </c>
    </row>
    <row r="34" spans="1:11" ht="2.2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2" ht="21.75" customHeight="1">
      <c r="A35" s="43" t="s">
        <v>40</v>
      </c>
      <c r="B35" s="44"/>
      <c r="C35" s="44"/>
      <c r="D35" s="44"/>
      <c r="E35" s="45">
        <f aca="true" t="shared" si="7" ref="E35:J35">E23+E18+E8</f>
        <v>1591.3716565625</v>
      </c>
      <c r="F35" s="45">
        <f t="shared" si="7"/>
        <v>357.4418011375</v>
      </c>
      <c r="G35" s="45">
        <f t="shared" si="7"/>
        <v>229.47272688750002</v>
      </c>
      <c r="H35" s="45">
        <f t="shared" si="7"/>
        <v>2178.2861845875004</v>
      </c>
      <c r="I35" s="45">
        <f t="shared" si="7"/>
        <v>3329.6417779125004</v>
      </c>
      <c r="J35" s="45">
        <f t="shared" si="7"/>
        <v>5507.9279625</v>
      </c>
      <c r="K35" s="47">
        <f>K23+K18+K8</f>
        <v>0.907770515613653</v>
      </c>
      <c r="L35" s="49"/>
    </row>
    <row r="36" spans="1:12" ht="17.25" customHeight="1">
      <c r="A36" s="46" t="s">
        <v>41</v>
      </c>
      <c r="B36" s="29"/>
      <c r="C36" s="29"/>
      <c r="D36" s="29"/>
      <c r="E36" s="20">
        <f aca="true" t="shared" si="8" ref="E36:J36">(E35*0.02)</f>
        <v>31.82743313125</v>
      </c>
      <c r="F36" s="20">
        <f t="shared" si="8"/>
        <v>7.14883602275</v>
      </c>
      <c r="G36" s="20">
        <f t="shared" si="8"/>
        <v>4.58945453775</v>
      </c>
      <c r="H36" s="20">
        <f t="shared" si="8"/>
        <v>43.56572369175001</v>
      </c>
      <c r="I36" s="20">
        <f t="shared" si="8"/>
        <v>66.59283555825002</v>
      </c>
      <c r="J36" s="20">
        <f t="shared" si="8"/>
        <v>110.15855925</v>
      </c>
      <c r="K36" s="20">
        <f>J36/J$38</f>
        <v>0.01815541031227306</v>
      </c>
      <c r="L36" s="50">
        <f>+J36+J37</f>
        <v>559.6054809899999</v>
      </c>
    </row>
    <row r="37" spans="1:12" ht="21" customHeight="1" thickBot="1">
      <c r="A37" s="46" t="s">
        <v>55</v>
      </c>
      <c r="B37" s="29"/>
      <c r="C37" s="29"/>
      <c r="D37" s="29"/>
      <c r="E37" s="20">
        <f aca="true" t="shared" si="9" ref="E37:J37">SUM(E35:E36)*0.08</f>
        <v>129.8559271755</v>
      </c>
      <c r="F37" s="20">
        <f t="shared" si="9"/>
        <v>29.167250972820003</v>
      </c>
      <c r="G37" s="20">
        <f t="shared" si="9"/>
        <v>18.72497451402</v>
      </c>
      <c r="H37" s="20">
        <f t="shared" si="9"/>
        <v>177.74815266234003</v>
      </c>
      <c r="I37" s="20">
        <f t="shared" si="9"/>
        <v>271.69876907766</v>
      </c>
      <c r="J37" s="20">
        <f t="shared" si="9"/>
        <v>449.44692174</v>
      </c>
      <c r="K37" s="20">
        <f>J37/J$38</f>
        <v>0.07407407407407408</v>
      </c>
      <c r="L37" s="49"/>
    </row>
    <row r="38" spans="1:11" ht="18.75" customHeight="1">
      <c r="A38" s="56" t="s">
        <v>42</v>
      </c>
      <c r="B38" s="57"/>
      <c r="C38" s="57"/>
      <c r="D38" s="57"/>
      <c r="E38" s="58">
        <f aca="true" t="shared" si="10" ref="E38:J38">SUM(E35:E37)</f>
        <v>1753.05501686925</v>
      </c>
      <c r="F38" s="58">
        <f t="shared" si="10"/>
        <v>393.75788813307</v>
      </c>
      <c r="G38" s="58">
        <f t="shared" si="10"/>
        <v>252.78715593927</v>
      </c>
      <c r="H38" s="58">
        <f t="shared" si="10"/>
        <v>2399.6000609415905</v>
      </c>
      <c r="I38" s="58">
        <f t="shared" si="10"/>
        <v>3667.9333825484105</v>
      </c>
      <c r="J38" s="58">
        <f t="shared" si="10"/>
        <v>6067.53344349</v>
      </c>
      <c r="K38" s="59">
        <f>SUM(K35:K37)</f>
        <v>1.0000000000000002</v>
      </c>
    </row>
    <row r="39" ht="3.75" customHeight="1">
      <c r="H39" s="4"/>
    </row>
    <row r="40" spans="1:11" s="10" customFormat="1" ht="9.75" customHeight="1">
      <c r="A40" s="64" t="s">
        <v>50</v>
      </c>
      <c r="B40" s="64"/>
      <c r="C40" s="64"/>
      <c r="D40" s="64"/>
      <c r="E40" s="64"/>
      <c r="F40" s="64"/>
      <c r="G40" s="64"/>
      <c r="H40" s="64"/>
      <c r="I40" s="64"/>
      <c r="J40" s="64"/>
      <c r="K40" s="11"/>
    </row>
    <row r="41" spans="1:11" s="10" customFormat="1" ht="26.25" customHeight="1">
      <c r="A41" s="66" t="s">
        <v>57</v>
      </c>
      <c r="B41" s="66"/>
      <c r="C41" s="66"/>
      <c r="D41" s="66"/>
      <c r="E41" s="66"/>
      <c r="F41" s="66"/>
      <c r="G41" s="66"/>
      <c r="H41" s="66"/>
      <c r="I41" s="66"/>
      <c r="J41" s="66"/>
      <c r="K41" s="11"/>
    </row>
    <row r="42" spans="1:11" s="10" customFormat="1" ht="17.25" customHeight="1">
      <c r="A42" s="16" t="s">
        <v>51</v>
      </c>
      <c r="B42" s="16"/>
      <c r="C42" s="16"/>
      <c r="D42" s="16"/>
      <c r="E42" s="16"/>
      <c r="F42" s="16"/>
      <c r="G42" s="16"/>
      <c r="H42" s="16"/>
      <c r="I42" s="16"/>
      <c r="J42" s="16"/>
      <c r="K42" s="11"/>
    </row>
    <row r="43" spans="1:11" s="10" customFormat="1" ht="17.25" customHeight="1">
      <c r="A43" s="65" t="s">
        <v>47</v>
      </c>
      <c r="B43" s="65"/>
      <c r="C43" s="65"/>
      <c r="D43" s="65"/>
      <c r="E43" s="65"/>
      <c r="F43" s="65"/>
      <c r="G43" s="65"/>
      <c r="H43" s="65"/>
      <c r="I43" s="65"/>
      <c r="J43" s="65"/>
      <c r="K43" s="11"/>
    </row>
    <row r="44" spans="1:11" s="10" customFormat="1" ht="15.75" customHeight="1">
      <c r="A44" s="11" t="s">
        <v>49</v>
      </c>
      <c r="B44" s="11"/>
      <c r="C44" s="12"/>
      <c r="D44" s="13"/>
      <c r="E44" s="11"/>
      <c r="F44" s="11"/>
      <c r="G44" s="12"/>
      <c r="H44" s="13"/>
      <c r="I44" s="14"/>
      <c r="J44" s="15">
        <v>600</v>
      </c>
      <c r="K44" s="11"/>
    </row>
    <row r="45" spans="1:11" s="10" customFormat="1" ht="14.25" customHeight="1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s="10" customFormat="1" ht="15.75" customHeight="1">
      <c r="A46" s="11" t="s">
        <v>53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0" customFormat="1" ht="14.25" customHeight="1">
      <c r="A47" s="11" t="s">
        <v>52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5" customHeight="1">
      <c r="A48" s="68" t="s">
        <v>54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57" spans="2:4" ht="12.75">
      <c r="B57" s="5"/>
      <c r="D57" s="5"/>
    </row>
    <row r="58" spans="2:4" ht="12.75">
      <c r="B58" s="5"/>
      <c r="D58" s="5"/>
    </row>
    <row r="59" ht="12.75">
      <c r="D59" s="5"/>
    </row>
    <row r="60" spans="4:10" ht="12.75">
      <c r="D60" s="5"/>
      <c r="E60" s="5"/>
      <c r="F60" s="5"/>
      <c r="G60" s="5"/>
      <c r="H60" s="9"/>
      <c r="I60" s="5"/>
      <c r="J60" s="5"/>
    </row>
    <row r="61" spans="4:10" ht="12.75">
      <c r="D61" s="5"/>
      <c r="E61" s="5"/>
      <c r="F61" s="5"/>
      <c r="G61" s="5"/>
      <c r="H61" s="9"/>
      <c r="I61" s="5"/>
      <c r="J61" s="5"/>
    </row>
    <row r="62" spans="4:10" ht="12.75">
      <c r="D62" s="5"/>
      <c r="E62" s="5"/>
      <c r="F62" s="5"/>
      <c r="G62" s="5"/>
      <c r="H62" s="9"/>
      <c r="I62" s="5"/>
      <c r="J62" s="5"/>
    </row>
    <row r="63" spans="4:10" ht="12.75">
      <c r="D63" s="5"/>
      <c r="E63" s="5"/>
      <c r="F63" s="5"/>
      <c r="G63" s="5"/>
      <c r="H63" s="9"/>
      <c r="I63" s="5"/>
      <c r="J63" s="5"/>
    </row>
    <row r="64" spans="4:10" ht="12.75">
      <c r="D64" s="5"/>
      <c r="E64" s="5"/>
      <c r="F64" s="5"/>
      <c r="G64" s="5"/>
      <c r="H64" s="9"/>
      <c r="I64" s="5"/>
      <c r="J64" s="5"/>
    </row>
    <row r="65" spans="4:10" ht="12.75">
      <c r="D65" s="5"/>
      <c r="E65" s="5"/>
      <c r="F65" s="5"/>
      <c r="G65" s="5"/>
      <c r="H65" s="9"/>
      <c r="I65" s="5"/>
      <c r="J65" s="5"/>
    </row>
    <row r="66" spans="4:10" ht="12.75">
      <c r="D66" s="5"/>
      <c r="E66" s="5"/>
      <c r="F66" s="5"/>
      <c r="G66" s="5"/>
      <c r="H66" s="9"/>
      <c r="I66" s="5"/>
      <c r="J66" s="5"/>
    </row>
    <row r="67" spans="2:10" ht="12.75">
      <c r="B67" s="6"/>
      <c r="D67" s="5"/>
      <c r="E67" s="5"/>
      <c r="F67" s="5"/>
      <c r="G67" s="5"/>
      <c r="H67" s="9"/>
      <c r="I67" s="5"/>
      <c r="J67" s="5"/>
    </row>
    <row r="68" spans="2:10" ht="12.75">
      <c r="B68" s="6"/>
      <c r="D68" s="5"/>
      <c r="E68" s="5"/>
      <c r="F68" s="5"/>
      <c r="G68" s="5"/>
      <c r="H68" s="9"/>
      <c r="I68" s="5"/>
      <c r="J68" s="5"/>
    </row>
    <row r="69" spans="2:10" ht="12.75">
      <c r="B69" s="6"/>
      <c r="D69" s="5"/>
      <c r="E69" s="5"/>
      <c r="F69" s="5"/>
      <c r="G69" s="5"/>
      <c r="H69" s="9"/>
      <c r="I69" s="5"/>
      <c r="J69" s="5"/>
    </row>
    <row r="70" spans="4:10" ht="12.75">
      <c r="D70" s="5"/>
      <c r="E70" s="5"/>
      <c r="F70" s="5"/>
      <c r="G70" s="5"/>
      <c r="H70" s="9"/>
      <c r="I70" s="5"/>
      <c r="J70" s="5"/>
    </row>
    <row r="71" spans="4:10" ht="12.75">
      <c r="D71" s="5"/>
      <c r="E71" s="5"/>
      <c r="F71" s="5"/>
      <c r="G71" s="5"/>
      <c r="H71" s="9"/>
      <c r="I71" s="5"/>
      <c r="J71" s="5"/>
    </row>
    <row r="72" spans="2:10" ht="12.75">
      <c r="B72" s="6"/>
      <c r="D72" s="5"/>
      <c r="E72" s="5"/>
      <c r="F72" s="5"/>
      <c r="G72" s="5"/>
      <c r="H72" s="9"/>
      <c r="I72" s="5"/>
      <c r="J72" s="5"/>
    </row>
    <row r="73" spans="2:10" ht="12.75">
      <c r="B73" s="6"/>
      <c r="D73" s="5"/>
      <c r="E73" s="5"/>
      <c r="F73" s="5"/>
      <c r="G73" s="5"/>
      <c r="H73" s="9"/>
      <c r="I73" s="5"/>
      <c r="J73" s="5"/>
    </row>
    <row r="74" spans="2:10" ht="12.75">
      <c r="B74" s="6"/>
      <c r="D74" s="5"/>
      <c r="E74" s="5"/>
      <c r="F74" s="5"/>
      <c r="G74" s="5"/>
      <c r="H74" s="9"/>
      <c r="I74" s="5"/>
      <c r="J74" s="5"/>
    </row>
    <row r="75" spans="2:10" ht="12.75">
      <c r="B75" s="6"/>
      <c r="D75" s="5"/>
      <c r="E75" s="5"/>
      <c r="F75" s="5"/>
      <c r="G75" s="5"/>
      <c r="H75" s="9"/>
      <c r="I75" s="5"/>
      <c r="J75" s="5"/>
    </row>
    <row r="76" spans="2:10" ht="12.75">
      <c r="B76" s="6"/>
      <c r="D76" s="5"/>
      <c r="E76" s="5"/>
      <c r="F76" s="5"/>
      <c r="G76" s="5"/>
      <c r="H76" s="9"/>
      <c r="I76" s="5"/>
      <c r="J76" s="5"/>
    </row>
    <row r="77" spans="2:10" ht="12.75">
      <c r="B77" s="6"/>
      <c r="D77" s="5"/>
      <c r="E77" s="5"/>
      <c r="F77" s="5"/>
      <c r="G77" s="5"/>
      <c r="H77" s="9"/>
      <c r="I77" s="5"/>
      <c r="J77" s="5"/>
    </row>
    <row r="78" spans="2:10" ht="12.75">
      <c r="B78" s="6"/>
      <c r="D78" s="5"/>
      <c r="E78" s="5"/>
      <c r="F78" s="5"/>
      <c r="G78" s="5"/>
      <c r="H78" s="9"/>
      <c r="I78" s="5"/>
      <c r="J78" s="5"/>
    </row>
    <row r="79" spans="2:10" ht="12.75">
      <c r="B79" s="6"/>
      <c r="D79" s="5"/>
      <c r="E79" s="5"/>
      <c r="F79" s="5"/>
      <c r="G79" s="5"/>
      <c r="H79" s="9"/>
      <c r="I79" s="5"/>
      <c r="J79" s="5"/>
    </row>
    <row r="80" spans="2:10" ht="12.75">
      <c r="B80" s="6"/>
      <c r="D80" s="5"/>
      <c r="E80" s="5"/>
      <c r="F80" s="5"/>
      <c r="G80" s="5"/>
      <c r="H80" s="9"/>
      <c r="I80" s="5"/>
      <c r="J80" s="5"/>
    </row>
    <row r="81" spans="2:10" ht="12.75">
      <c r="B81" s="6"/>
      <c r="D81" s="5"/>
      <c r="E81" s="5"/>
      <c r="F81" s="5"/>
      <c r="G81" s="5"/>
      <c r="H81" s="9"/>
      <c r="I81" s="5"/>
      <c r="J81" s="5"/>
    </row>
  </sheetData>
  <sheetProtection/>
  <mergeCells count="11">
    <mergeCell ref="A45:K45"/>
    <mergeCell ref="A48:K48"/>
    <mergeCell ref="K6:K7"/>
    <mergeCell ref="A34:K34"/>
    <mergeCell ref="A2:K2"/>
    <mergeCell ref="A3:K3"/>
    <mergeCell ref="A4:K4"/>
    <mergeCell ref="H6:H7"/>
    <mergeCell ref="A40:J40"/>
    <mergeCell ref="A43:J43"/>
    <mergeCell ref="A41:J41"/>
  </mergeCells>
  <printOptions/>
  <pageMargins left="0.9055118110236221" right="0.2755905511811024" top="0.8267716535433072" bottom="0.2755905511811024" header="0.31496062992125984" footer="0.2755905511811024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Karisovic</cp:lastModifiedBy>
  <cp:lastPrinted>2018-09-11T17:34:59Z</cp:lastPrinted>
  <dcterms:created xsi:type="dcterms:W3CDTF">1999-01-19T20:18:23Z</dcterms:created>
  <dcterms:modified xsi:type="dcterms:W3CDTF">2019-07-19T16:17:43Z</dcterms:modified>
  <cp:category/>
  <cp:version/>
  <cp:contentType/>
  <cp:contentStatus/>
</cp:coreProperties>
</file>