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'Hoja1'!$A$1:$K$48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<sst xmlns="http://schemas.openxmlformats.org/spreadsheetml/2006/main" count="74" uniqueCount="57">
  <si>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Valor </t>
  </si>
  <si>
    <t>1er. Año</t>
  </si>
  <si>
    <t>2do. Año</t>
  </si>
  <si>
    <t>3er. Año</t>
  </si>
  <si>
    <t>4-10 Año</t>
  </si>
  <si>
    <t>Costo</t>
  </si>
  <si>
    <t>Actividad</t>
  </si>
  <si>
    <t>Cantidad</t>
  </si>
  <si>
    <t>Unidad</t>
  </si>
  <si>
    <t>Unitario</t>
  </si>
  <si>
    <t>Total</t>
  </si>
  <si>
    <t>1- INSUMOS</t>
  </si>
  <si>
    <t xml:space="preserve">   .1 Compra de Plántulas de Siembra</t>
  </si>
  <si>
    <t>Planta</t>
  </si>
  <si>
    <t xml:space="preserve">   .2 Compra para la Resiembra</t>
  </si>
  <si>
    <t xml:space="preserve">   .3 Compra de Fertilizante </t>
  </si>
  <si>
    <t xml:space="preserve">      (15-15-15)</t>
  </si>
  <si>
    <t>Quintal</t>
  </si>
  <si>
    <t xml:space="preserve">   .4 Compra de Insecticida </t>
  </si>
  <si>
    <t xml:space="preserve">      (Azodrin 60)</t>
  </si>
  <si>
    <t>Litro</t>
  </si>
  <si>
    <t xml:space="preserve">   .5 Compra de Fungicida</t>
  </si>
  <si>
    <t xml:space="preserve">      (Dithane M-60)</t>
  </si>
  <si>
    <t>2-  PREPARACION DEL TERRENO</t>
  </si>
  <si>
    <t xml:space="preserve">   .1 Corte (Mecanizado)</t>
  </si>
  <si>
    <t>Tarea</t>
  </si>
  <si>
    <t xml:space="preserve">   .2 Cruce (Mecanizado)</t>
  </si>
  <si>
    <t xml:space="preserve">   .3 Rastra (Mecanicado)</t>
  </si>
  <si>
    <t>3-  MANO DE OBRA</t>
  </si>
  <si>
    <t xml:space="preserve">   .1  Marcado y Alineación de Hoyos</t>
  </si>
  <si>
    <t>Hom-Día</t>
  </si>
  <si>
    <t xml:space="preserve">   .2  Transporte de Plantas</t>
  </si>
  <si>
    <t xml:space="preserve">   .3  Construcción de Hoyos Siembra</t>
  </si>
  <si>
    <t xml:space="preserve">   .4  Construccion de Hoyos Resiembra</t>
  </si>
  <si>
    <t xml:space="preserve">   .5  Transporte de Fertilizantes</t>
  </si>
  <si>
    <t xml:space="preserve">   .6  Aplicación de Fertilizantes</t>
  </si>
  <si>
    <t xml:space="preserve">   .7  Aplicación de Pesticidas</t>
  </si>
  <si>
    <t xml:space="preserve">   .8  Desyerbos</t>
  </si>
  <si>
    <t xml:space="preserve">   .9  Deschuponado y Poda</t>
  </si>
  <si>
    <t xml:space="preserve">   .10 Recolección y Empaque</t>
  </si>
  <si>
    <t xml:space="preserve">  SUBTOTAL </t>
  </si>
  <si>
    <t xml:space="preserve">  GASTOS ADMINISTRATIVOS (2%)</t>
  </si>
  <si>
    <t xml:space="preserve">  TOTAL GENERAL</t>
  </si>
  <si>
    <t>Participación (%) por Actividad</t>
  </si>
  <si>
    <t xml:space="preserve">  ESTIMADO DE COSTO DE PRODUCCION PARA LA EXPLOTACION DE UNA TAREA  DE LIMON PERSA</t>
  </si>
  <si>
    <t>Total Costo Fomento</t>
  </si>
  <si>
    <t>Las unidades de médida expresadas en los insumos corresponde a la forma en la que los productores  la obtienen de los puntos de venta o agroquímicas.</t>
  </si>
  <si>
    <t>COSTO FOMENTO: desde el año 1 al 3   Y  COSTO MANTENIMIENTO:  del cuarto año en adelante.</t>
  </si>
  <si>
    <t>Una Hectárea equivale a 15.9 tareas.</t>
  </si>
  <si>
    <t xml:space="preserve">Notas: </t>
  </si>
  <si>
    <t>El uso de una "MARCA DE FABRICA" no constituye una recomendación del producto, sino lo que informaron los productores.</t>
  </si>
  <si>
    <t xml:space="preserve">             Estimados por la División de Estudios Económicos.</t>
  </si>
  <si>
    <t>Página 160</t>
  </si>
  <si>
    <t xml:space="preserve">  PAGOS INTERESES 8.0% ANUAL (12 meses 8.0%)</t>
  </si>
  <si>
    <t>Fuente:  Ministerio de Agricultura, Departamento de Economía Agropecuaria.</t>
  </si>
  <si>
    <t xml:space="preserve">  REPUBLICA DOMINICANA,  2019.- (En RD$)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</si>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</sst>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#,##0.00_ ;\-#,##0.00\ "/>
    <numFmt numFmtId="194" formatCode="#,##0.0\ _€;\-#,##0.0\ _€"/>
    <numFmt numFmtId="195" formatCode="0_)"/>
    <numFmt numFmtId="196" formatCode="_-* #,##0.0000\ _€_-;\-* #,##0.0000\ _€_-;_-* &quot;-&quot;????\ _€_-;_-@_-"/>
  </numFmts>
  <fonts count="49">
    <font>
      <sz val="10"/>
      <name val="Arial"/>
      <family val="0"/>
    </font>
    <font>
      <sz val="11"/>
      <color indexed="8"/>
      <name val="Baskerville Old Face"/>
      <family val="1"/>
    </font>
    <font>
      <sz val="10"/>
      <name val="Baskerville Old Face"/>
      <family val="1"/>
    </font>
    <font>
      <b/>
      <sz val="10"/>
      <name val="Baskerville Old Face"/>
      <family val="1"/>
    </font>
    <font>
      <sz val="9"/>
      <name val="Baskerville Old Face"/>
      <family val="1"/>
    </font>
    <font>
      <b/>
      <sz val="9"/>
      <name val="Baskerville Old Face"/>
      <family val="1"/>
    </font>
    <font>
      <sz val="8"/>
      <name val="Arial"/>
      <family val="2"/>
    </font>
    <font>
      <sz val="9"/>
      <name val="Arial Narrow"/>
      <family val="2"/>
    </font>
    <font>
      <b/>
      <sz val="11"/>
      <name val="Baskerville Old Face"/>
      <family val="1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sz val="10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10"/>
      <color theme="1"/>
      <name val="Baskerville Old Fa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 applyProtection="1">
      <alignment horizontal="fill"/>
      <protection/>
    </xf>
    <xf numFmtId="0" fontId="4" fillId="0" borderId="11" xfId="0" applyFont="1" applyBorder="1" applyAlignment="1" applyProtection="1">
      <alignment horizontal="fill"/>
      <protection/>
    </xf>
    <xf numFmtId="0" fontId="5" fillId="0" borderId="12" xfId="0" applyFont="1" applyBorder="1" applyAlignment="1" applyProtection="1">
      <alignment horizontal="fill"/>
      <protection/>
    </xf>
    <xf numFmtId="43" fontId="5" fillId="0" borderId="12" xfId="47" applyFont="1" applyBorder="1" applyAlignment="1" applyProtection="1">
      <alignment horizontal="fill"/>
      <protection/>
    </xf>
    <xf numFmtId="0" fontId="2" fillId="0" borderId="13" xfId="0" applyFont="1" applyBorder="1" applyAlignment="1">
      <alignment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187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43" fontId="5" fillId="33" borderId="10" xfId="47" applyFont="1" applyFill="1" applyBorder="1" applyAlignment="1" applyProtection="1">
      <alignment horizontal="fill"/>
      <protection/>
    </xf>
    <xf numFmtId="43" fontId="3" fillId="0" borderId="0" xfId="47" applyFont="1" applyAlignment="1">
      <alignment/>
    </xf>
    <xf numFmtId="43" fontId="3" fillId="0" borderId="0" xfId="47" applyFont="1" applyAlignment="1" applyProtection="1">
      <alignment/>
      <protection/>
    </xf>
    <xf numFmtId="0" fontId="4" fillId="33" borderId="14" xfId="0" applyFont="1" applyFill="1" applyBorder="1" applyAlignment="1" applyProtection="1">
      <alignment horizontal="fill"/>
      <protection/>
    </xf>
    <xf numFmtId="0" fontId="2" fillId="0" borderId="15" xfId="0" applyFont="1" applyBorder="1" applyAlignment="1">
      <alignment/>
    </xf>
    <xf numFmtId="0" fontId="5" fillId="34" borderId="14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43" fontId="5" fillId="34" borderId="10" xfId="47" applyFont="1" applyFill="1" applyBorder="1" applyAlignment="1">
      <alignment/>
    </xf>
    <xf numFmtId="0" fontId="4" fillId="34" borderId="14" xfId="0" applyFont="1" applyFill="1" applyBorder="1" applyAlignment="1" applyProtection="1">
      <alignment horizontal="left"/>
      <protection/>
    </xf>
    <xf numFmtId="192" fontId="4" fillId="34" borderId="10" xfId="47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43" fontId="4" fillId="34" borderId="10" xfId="47" applyFont="1" applyFill="1" applyBorder="1" applyAlignment="1" applyProtection="1">
      <alignment/>
      <protection/>
    </xf>
    <xf numFmtId="187" fontId="4" fillId="34" borderId="10" xfId="0" applyNumberFormat="1" applyFont="1" applyFill="1" applyBorder="1" applyAlignment="1" applyProtection="1">
      <alignment/>
      <protection/>
    </xf>
    <xf numFmtId="9" fontId="2" fillId="34" borderId="15" xfId="53" applyFont="1" applyFill="1" applyBorder="1" applyAlignment="1">
      <alignment horizontal="center"/>
    </xf>
    <xf numFmtId="192" fontId="4" fillId="34" borderId="10" xfId="47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188" fontId="4" fillId="34" borderId="10" xfId="0" applyNumberFormat="1" applyFont="1" applyFill="1" applyBorder="1" applyAlignment="1" applyProtection="1">
      <alignment/>
      <protection/>
    </xf>
    <xf numFmtId="43" fontId="4" fillId="34" borderId="10" xfId="47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left"/>
      <protection/>
    </xf>
    <xf numFmtId="188" fontId="4" fillId="34" borderId="17" xfId="0" applyNumberFormat="1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center"/>
      <protection/>
    </xf>
    <xf numFmtId="187" fontId="4" fillId="34" borderId="17" xfId="0" applyNumberFormat="1" applyFont="1" applyFill="1" applyBorder="1" applyAlignment="1" applyProtection="1">
      <alignment/>
      <protection/>
    </xf>
    <xf numFmtId="43" fontId="4" fillId="34" borderId="17" xfId="47" applyFont="1" applyFill="1" applyBorder="1" applyAlignment="1" applyProtection="1">
      <alignment/>
      <protection/>
    </xf>
    <xf numFmtId="43" fontId="5" fillId="34" borderId="17" xfId="47" applyFont="1" applyFill="1" applyBorder="1" applyAlignment="1">
      <alignment/>
    </xf>
    <xf numFmtId="9" fontId="2" fillId="34" borderId="18" xfId="53" applyFont="1" applyFill="1" applyBorder="1" applyAlignment="1">
      <alignment horizontal="center"/>
    </xf>
    <xf numFmtId="0" fontId="5" fillId="34" borderId="19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94" fontId="5" fillId="34" borderId="20" xfId="0" applyNumberFormat="1" applyFont="1" applyFill="1" applyBorder="1" applyAlignment="1" applyProtection="1">
      <alignment/>
      <protection/>
    </xf>
    <xf numFmtId="39" fontId="5" fillId="34" borderId="20" xfId="0" applyNumberFormat="1" applyFont="1" applyFill="1" applyBorder="1" applyAlignment="1" applyProtection="1">
      <alignment/>
      <protection/>
    </xf>
    <xf numFmtId="43" fontId="5" fillId="34" borderId="20" xfId="47" applyFont="1" applyFill="1" applyBorder="1" applyAlignment="1" applyProtection="1">
      <alignment/>
      <protection/>
    </xf>
    <xf numFmtId="39" fontId="5" fillId="34" borderId="15" xfId="0" applyNumberFormat="1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left"/>
      <protection/>
    </xf>
    <xf numFmtId="39" fontId="4" fillId="34" borderId="20" xfId="0" applyNumberFormat="1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43" fontId="3" fillId="34" borderId="0" xfId="47" applyFont="1" applyFill="1" applyBorder="1" applyAlignment="1">
      <alignment/>
    </xf>
    <xf numFmtId="0" fontId="3" fillId="34" borderId="0" xfId="0" applyFont="1" applyFill="1" applyBorder="1" applyAlignment="1">
      <alignment/>
    </xf>
    <xf numFmtId="9" fontId="5" fillId="34" borderId="21" xfId="53" applyFont="1" applyFill="1" applyBorder="1" applyAlignment="1">
      <alignment horizontal="center"/>
    </xf>
    <xf numFmtId="9" fontId="5" fillId="34" borderId="21" xfId="53" applyFont="1" applyFill="1" applyBorder="1" applyAlignment="1">
      <alignment horizontal="center" vertical="center"/>
    </xf>
    <xf numFmtId="177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43" fontId="2" fillId="34" borderId="0" xfId="47" applyFont="1" applyFill="1" applyAlignment="1">
      <alignment/>
    </xf>
    <xf numFmtId="187" fontId="2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7" fontId="7" fillId="34" borderId="0" xfId="0" applyNumberFormat="1" applyFont="1" applyFill="1" applyAlignment="1" applyProtection="1">
      <alignment/>
      <protection/>
    </xf>
    <xf numFmtId="10" fontId="7" fillId="34" borderId="0" xfId="0" applyNumberFormat="1" applyFont="1" applyFill="1" applyAlignment="1" applyProtection="1">
      <alignment/>
      <protection/>
    </xf>
    <xf numFmtId="195" fontId="7" fillId="34" borderId="0" xfId="0" applyNumberFormat="1" applyFont="1" applyFill="1" applyAlignment="1" applyProtection="1">
      <alignment/>
      <protection/>
    </xf>
    <xf numFmtId="187" fontId="2" fillId="34" borderId="0" xfId="0" applyNumberFormat="1" applyFont="1" applyFill="1" applyAlignment="1" applyProtection="1">
      <alignment/>
      <protection/>
    </xf>
    <xf numFmtId="43" fontId="3" fillId="34" borderId="0" xfId="47" applyFont="1" applyFill="1" applyAlignment="1" applyProtection="1">
      <alignment/>
      <protection/>
    </xf>
    <xf numFmtId="188" fontId="2" fillId="34" borderId="0" xfId="0" applyNumberFormat="1" applyFont="1" applyFill="1" applyAlignment="1" applyProtection="1">
      <alignment/>
      <protection/>
    </xf>
    <xf numFmtId="9" fontId="5" fillId="34" borderId="15" xfId="53" applyFont="1" applyFill="1" applyBorder="1" applyAlignment="1" applyProtection="1">
      <alignment horizontal="center"/>
      <protection/>
    </xf>
    <xf numFmtId="9" fontId="4" fillId="34" borderId="15" xfId="53" applyFont="1" applyFill="1" applyBorder="1" applyAlignment="1" applyProtection="1">
      <alignment horizontal="center"/>
      <protection/>
    </xf>
    <xf numFmtId="0" fontId="48" fillId="34" borderId="0" xfId="0" applyFont="1" applyFill="1" applyAlignment="1">
      <alignment/>
    </xf>
    <xf numFmtId="39" fontId="47" fillId="34" borderId="0" xfId="0" applyNumberFormat="1" applyFont="1" applyFill="1" applyAlignment="1">
      <alignment/>
    </xf>
    <xf numFmtId="0" fontId="8" fillId="35" borderId="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left"/>
      <protection/>
    </xf>
    <xf numFmtId="0" fontId="5" fillId="35" borderId="25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194" fontId="5" fillId="35" borderId="26" xfId="0" applyNumberFormat="1" applyFont="1" applyFill="1" applyBorder="1" applyAlignment="1" applyProtection="1">
      <alignment/>
      <protection/>
    </xf>
    <xf numFmtId="43" fontId="5" fillId="35" borderId="26" xfId="47" applyFont="1" applyFill="1" applyBorder="1" applyAlignment="1" applyProtection="1">
      <alignment/>
      <protection/>
    </xf>
    <xf numFmtId="39" fontId="5" fillId="35" borderId="27" xfId="0" applyNumberFormat="1" applyFont="1" applyFill="1" applyBorder="1" applyAlignment="1" applyProtection="1">
      <alignment/>
      <protection/>
    </xf>
    <xf numFmtId="9" fontId="5" fillId="35" borderId="27" xfId="53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Alignment="1">
      <alignment horizontal="left" wrapText="1"/>
    </xf>
    <xf numFmtId="0" fontId="7" fillId="34" borderId="0" xfId="0" applyFont="1" applyFill="1" applyAlignment="1">
      <alignment horizontal="left"/>
    </xf>
    <xf numFmtId="0" fontId="4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0" fillId="35" borderId="28" xfId="0" applyFont="1" applyFill="1" applyBorder="1" applyAlignment="1">
      <alignment horizontal="center" vertical="justify"/>
    </xf>
    <xf numFmtId="0" fontId="10" fillId="35" borderId="29" xfId="0" applyFont="1" applyFill="1" applyBorder="1" applyAlignment="1">
      <alignment horizontal="center" vertical="justify"/>
    </xf>
    <xf numFmtId="43" fontId="9" fillId="35" borderId="12" xfId="47" applyFont="1" applyFill="1" applyBorder="1" applyAlignment="1" applyProtection="1">
      <alignment horizontal="center" vertical="justify"/>
      <protection/>
    </xf>
    <xf numFmtId="43" fontId="9" fillId="35" borderId="10" xfId="47" applyFont="1" applyFill="1" applyBorder="1" applyAlignment="1" applyProtection="1">
      <alignment horizontal="center" vertical="justify"/>
      <protection/>
    </xf>
    <xf numFmtId="0" fontId="7" fillId="34" borderId="0" xfId="0" applyFont="1" applyFill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0">
      <selection activeCell="D27" sqref="D27"/>
    </sheetView>
  </sheetViews>
  <sheetFormatPr defaultColWidth="11.00390625" defaultRowHeight="12.75"/>
  <cols>
    <col min="1" max="1" width="31.00390625" style="3" customWidth="1"/>
    <col min="2" max="2" width="8.00390625" style="3" customWidth="1"/>
    <col min="3" max="3" width="8.28125" style="3" customWidth="1"/>
    <col min="4" max="4" width="8.8515625" style="3" customWidth="1"/>
    <col min="5" max="5" width="9.421875" style="3" customWidth="1"/>
    <col min="6" max="6" width="8.421875" style="3" customWidth="1"/>
    <col min="7" max="7" width="8.8515625" style="3" customWidth="1"/>
    <col min="8" max="8" width="11.8515625" style="14" customWidth="1"/>
    <col min="9" max="10" width="9.7109375" style="3" customWidth="1"/>
    <col min="11" max="11" width="10.28125" style="3" customWidth="1"/>
    <col min="12" max="12" width="12.57421875" style="54" customWidth="1"/>
    <col min="13" max="16384" width="11.00390625" style="3" customWidth="1"/>
  </cols>
  <sheetData>
    <row r="1" spans="1:11" ht="9.75" customHeight="1">
      <c r="A1" s="48"/>
      <c r="B1" s="48"/>
      <c r="C1" s="48"/>
      <c r="D1" s="48"/>
      <c r="E1" s="48"/>
      <c r="F1" s="48"/>
      <c r="G1" s="48"/>
      <c r="H1" s="49"/>
      <c r="I1" s="48"/>
      <c r="J1" s="48"/>
      <c r="K1" s="48"/>
    </row>
    <row r="2" spans="1:12" s="1" customFormat="1" ht="14.25" customHeight="1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55"/>
    </row>
    <row r="3" spans="1:12" s="1" customFormat="1" ht="14.25" customHeight="1">
      <c r="A3" s="89" t="s">
        <v>55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55"/>
    </row>
    <row r="4" spans="1:12" s="1" customFormat="1" ht="3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55"/>
    </row>
    <row r="5" spans="1:12" s="2" customFormat="1" ht="19.5" customHeight="1" thickBot="1">
      <c r="A5" s="48"/>
      <c r="B5" s="50"/>
      <c r="C5" s="50"/>
      <c r="D5" s="50"/>
      <c r="E5" s="50"/>
      <c r="F5" s="50"/>
      <c r="G5" s="50"/>
      <c r="H5" s="49"/>
      <c r="I5" s="50"/>
      <c r="J5" s="50"/>
      <c r="K5" s="48"/>
      <c r="L5" s="48"/>
    </row>
    <row r="6" spans="1:11" ht="20.25" customHeight="1">
      <c r="A6" s="73"/>
      <c r="B6" s="74"/>
      <c r="C6" s="74"/>
      <c r="D6" s="75" t="s">
        <v>0</v>
      </c>
      <c r="E6" s="75" t="s">
        <v>1</v>
      </c>
      <c r="F6" s="75" t="s">
        <v>2</v>
      </c>
      <c r="G6" s="75" t="s">
        <v>3</v>
      </c>
      <c r="H6" s="92" t="s">
        <v>45</v>
      </c>
      <c r="I6" s="75" t="s">
        <v>4</v>
      </c>
      <c r="J6" s="75" t="s">
        <v>5</v>
      </c>
      <c r="K6" s="90" t="s">
        <v>43</v>
      </c>
    </row>
    <row r="7" spans="1:12" ht="18.75" customHeight="1" thickBot="1">
      <c r="A7" s="76" t="s">
        <v>6</v>
      </c>
      <c r="B7" s="77" t="s">
        <v>7</v>
      </c>
      <c r="C7" s="77" t="s">
        <v>8</v>
      </c>
      <c r="D7" s="77" t="s">
        <v>9</v>
      </c>
      <c r="E7" s="77" t="s">
        <v>5</v>
      </c>
      <c r="F7" s="77" t="s">
        <v>5</v>
      </c>
      <c r="G7" s="77" t="s">
        <v>5</v>
      </c>
      <c r="H7" s="93"/>
      <c r="I7" s="77" t="s">
        <v>5</v>
      </c>
      <c r="J7" s="77" t="s">
        <v>10</v>
      </c>
      <c r="K7" s="91"/>
      <c r="L7" s="56"/>
    </row>
    <row r="8" spans="1:12" ht="3" customHeight="1" hidden="1">
      <c r="A8" s="16"/>
      <c r="B8" s="4"/>
      <c r="C8" s="4"/>
      <c r="D8" s="4"/>
      <c r="E8" s="4"/>
      <c r="F8" s="4"/>
      <c r="G8" s="4"/>
      <c r="H8" s="13"/>
      <c r="I8" s="4"/>
      <c r="J8" s="4"/>
      <c r="K8" s="17"/>
      <c r="L8" s="56"/>
    </row>
    <row r="9" spans="1:12" ht="3.75" customHeight="1">
      <c r="A9" s="5"/>
      <c r="B9" s="6"/>
      <c r="C9" s="6"/>
      <c r="D9" s="6"/>
      <c r="E9" s="6"/>
      <c r="F9" s="6"/>
      <c r="G9" s="6"/>
      <c r="H9" s="7"/>
      <c r="I9" s="6"/>
      <c r="J9" s="7"/>
      <c r="K9" s="8"/>
      <c r="L9" s="56"/>
    </row>
    <row r="10" spans="1:12" ht="15" customHeight="1">
      <c r="A10" s="18" t="s">
        <v>11</v>
      </c>
      <c r="B10" s="19"/>
      <c r="C10" s="19"/>
      <c r="D10" s="24"/>
      <c r="E10" s="20">
        <f aca="true" t="shared" si="0" ref="E10:K10">SUM(E11:E18)</f>
        <v>1690.707610796154</v>
      </c>
      <c r="F10" s="20">
        <f t="shared" si="0"/>
        <v>108.60697702471865</v>
      </c>
      <c r="G10" s="20">
        <f t="shared" si="0"/>
        <v>14.426376358857443</v>
      </c>
      <c r="H10" s="20">
        <f t="shared" si="0"/>
        <v>1813.74096417973</v>
      </c>
      <c r="I10" s="20">
        <f t="shared" si="0"/>
        <v>152.52014990839305</v>
      </c>
      <c r="J10" s="20">
        <f t="shared" si="0"/>
        <v>1966.2611140881233</v>
      </c>
      <c r="K10" s="52">
        <f t="shared" si="0"/>
        <v>0.24873343100913872</v>
      </c>
      <c r="L10" s="56"/>
    </row>
    <row r="11" spans="1:13" ht="12" customHeight="1">
      <c r="A11" s="21" t="s">
        <v>12</v>
      </c>
      <c r="B11" s="22">
        <f>1782.87/52.92</f>
        <v>33.689909297052154</v>
      </c>
      <c r="C11" s="23" t="s">
        <v>13</v>
      </c>
      <c r="D11" s="24">
        <v>50</v>
      </c>
      <c r="E11" s="25">
        <f>(D11*B11)</f>
        <v>1684.4954648526077</v>
      </c>
      <c r="F11" s="19"/>
      <c r="G11" s="19"/>
      <c r="H11" s="20">
        <f>SUM(E11:G11)</f>
        <v>1684.4954648526077</v>
      </c>
      <c r="I11" s="19"/>
      <c r="J11" s="25">
        <f>(D11*B11)</f>
        <v>1684.4954648526077</v>
      </c>
      <c r="K11" s="26">
        <f>J11/J$39</f>
        <v>0.21308987574950589</v>
      </c>
      <c r="L11" s="56"/>
      <c r="M11" s="9"/>
    </row>
    <row r="12" spans="1:13" ht="12" customHeight="1">
      <c r="A12" s="21" t="s">
        <v>14</v>
      </c>
      <c r="B12" s="22">
        <v>2</v>
      </c>
      <c r="C12" s="23" t="s">
        <v>13</v>
      </c>
      <c r="D12" s="24">
        <v>50</v>
      </c>
      <c r="E12" s="25"/>
      <c r="F12" s="25">
        <f>(D12*B12)</f>
        <v>100</v>
      </c>
      <c r="G12" s="19"/>
      <c r="H12" s="20">
        <f aca="true" t="shared" si="1" ref="H12:H35">SUM(E12:G12)</f>
        <v>100</v>
      </c>
      <c r="I12" s="19"/>
      <c r="J12" s="25">
        <f>(D12*B12)</f>
        <v>100</v>
      </c>
      <c r="K12" s="26">
        <f>J12/J$39</f>
        <v>0.0126500712050389</v>
      </c>
      <c r="L12" s="56"/>
      <c r="M12" s="9"/>
    </row>
    <row r="13" spans="1:13" ht="12" customHeight="1">
      <c r="A13" s="21" t="s">
        <v>15</v>
      </c>
      <c r="B13" s="27"/>
      <c r="C13" s="19"/>
      <c r="D13" s="24"/>
      <c r="E13" s="19"/>
      <c r="F13" s="19"/>
      <c r="G13" s="19"/>
      <c r="H13" s="20"/>
      <c r="I13" s="19"/>
      <c r="J13" s="19"/>
      <c r="K13" s="26"/>
      <c r="L13" s="56"/>
      <c r="M13" s="9"/>
    </row>
    <row r="14" spans="1:12" ht="12" customHeight="1">
      <c r="A14" s="21" t="s">
        <v>16</v>
      </c>
      <c r="B14" s="22">
        <f>5.05/45.55</f>
        <v>0.11086717892425905</v>
      </c>
      <c r="C14" s="23" t="s">
        <v>17</v>
      </c>
      <c r="D14" s="24">
        <v>1181.625</v>
      </c>
      <c r="E14" s="25">
        <f>(J14*0.025)</f>
        <v>3.2750857574094407</v>
      </c>
      <c r="F14" s="25">
        <f>(J14*0.043)</f>
        <v>5.633147502744237</v>
      </c>
      <c r="G14" s="25">
        <f>(J14*0.074)</f>
        <v>9.694253841931943</v>
      </c>
      <c r="H14" s="20">
        <f t="shared" si="1"/>
        <v>18.602487102085618</v>
      </c>
      <c r="I14" s="25">
        <f>(J14*0.858)</f>
        <v>112.400943194292</v>
      </c>
      <c r="J14" s="25">
        <f>(D14*B14)</f>
        <v>131.00343029637762</v>
      </c>
      <c r="K14" s="26">
        <f>J14/J$39</f>
        <v>0.01657202721353527</v>
      </c>
      <c r="L14" s="56"/>
    </row>
    <row r="15" spans="1:12" ht="12" customHeight="1">
      <c r="A15" s="21" t="s">
        <v>18</v>
      </c>
      <c r="B15" s="27"/>
      <c r="C15" s="19"/>
      <c r="D15" s="24"/>
      <c r="E15" s="25"/>
      <c r="F15" s="25"/>
      <c r="G15" s="25"/>
      <c r="H15" s="20"/>
      <c r="I15" s="25"/>
      <c r="J15" s="25"/>
      <c r="K15" s="26"/>
      <c r="L15" s="56"/>
    </row>
    <row r="16" spans="1:12" ht="12" customHeight="1">
      <c r="A16" s="21" t="s">
        <v>19</v>
      </c>
      <c r="B16" s="22">
        <f>1.67/49</f>
        <v>0.034081632653061224</v>
      </c>
      <c r="C16" s="23" t="s">
        <v>20</v>
      </c>
      <c r="D16" s="24">
        <v>950</v>
      </c>
      <c r="E16" s="25">
        <f>(J16*0.068)</f>
        <v>2.2016734693877553</v>
      </c>
      <c r="F16" s="25">
        <f>(J16*0.068)</f>
        <v>2.2016734693877553</v>
      </c>
      <c r="G16" s="25">
        <f>(J16*0.103)</f>
        <v>3.3348877551020406</v>
      </c>
      <c r="H16" s="20">
        <f t="shared" si="1"/>
        <v>7.738234693877551</v>
      </c>
      <c r="I16" s="25">
        <f>(J16*0.761)</f>
        <v>24.63931632653061</v>
      </c>
      <c r="J16" s="25">
        <f>(D16*B16)</f>
        <v>32.37755102040816</v>
      </c>
      <c r="K16" s="26">
        <f>J16/J$39</f>
        <v>0.004095783258529431</v>
      </c>
      <c r="L16" s="56"/>
    </row>
    <row r="17" spans="1:12" ht="12" customHeight="1">
      <c r="A17" s="21" t="s">
        <v>21</v>
      </c>
      <c r="B17" s="27"/>
      <c r="C17" s="19"/>
      <c r="D17" s="19"/>
      <c r="E17" s="25"/>
      <c r="F17" s="25"/>
      <c r="G17" s="25"/>
      <c r="H17" s="20"/>
      <c r="I17" s="25"/>
      <c r="J17" s="25"/>
      <c r="K17" s="26"/>
      <c r="L17" s="56"/>
    </row>
    <row r="18" spans="1:12" ht="12" customHeight="1">
      <c r="A18" s="21" t="s">
        <v>22</v>
      </c>
      <c r="B18" s="22">
        <f>2.86/58.57</f>
        <v>0.04883045927949462</v>
      </c>
      <c r="C18" s="23" t="s">
        <v>20</v>
      </c>
      <c r="D18" s="25">
        <v>376.5</v>
      </c>
      <c r="E18" s="25">
        <f>(J18*0.04)</f>
        <v>0.735386716749189</v>
      </c>
      <c r="F18" s="25">
        <f>(J18*0.042)</f>
        <v>0.7721560525866485</v>
      </c>
      <c r="G18" s="25">
        <f>(J18*0.076)</f>
        <v>1.397234761823459</v>
      </c>
      <c r="H18" s="20">
        <f t="shared" si="1"/>
        <v>2.9047775311592967</v>
      </c>
      <c r="I18" s="25">
        <f>(J18*0.842)</f>
        <v>15.479890387570428</v>
      </c>
      <c r="J18" s="25">
        <f>(D18*B18)</f>
        <v>18.384667918729725</v>
      </c>
      <c r="K18" s="26">
        <f>J18/J$39</f>
        <v>0.0023256735825292535</v>
      </c>
      <c r="L18" s="56"/>
    </row>
    <row r="19" spans="1:12" ht="3.75" customHeight="1">
      <c r="A19" s="28"/>
      <c r="B19" s="19"/>
      <c r="C19" s="19"/>
      <c r="D19" s="19"/>
      <c r="E19" s="25"/>
      <c r="F19" s="25"/>
      <c r="G19" s="25"/>
      <c r="H19" s="20">
        <f t="shared" si="1"/>
        <v>0</v>
      </c>
      <c r="I19" s="25"/>
      <c r="J19" s="25"/>
      <c r="K19" s="26"/>
      <c r="L19" s="56"/>
    </row>
    <row r="20" spans="1:12" ht="12" customHeight="1">
      <c r="A20" s="18" t="s">
        <v>23</v>
      </c>
      <c r="B20" s="19"/>
      <c r="C20" s="19"/>
      <c r="D20" s="19"/>
      <c r="E20" s="20">
        <f aca="true" t="shared" si="2" ref="E20:K20">SUM(E21:E23)</f>
        <v>650</v>
      </c>
      <c r="F20" s="20">
        <f t="shared" si="2"/>
        <v>0</v>
      </c>
      <c r="G20" s="20">
        <f t="shared" si="2"/>
        <v>0</v>
      </c>
      <c r="H20" s="20">
        <f t="shared" si="2"/>
        <v>650</v>
      </c>
      <c r="I20" s="20">
        <f t="shared" si="2"/>
        <v>0</v>
      </c>
      <c r="J20" s="20">
        <f t="shared" si="2"/>
        <v>650</v>
      </c>
      <c r="K20" s="51">
        <f t="shared" si="2"/>
        <v>0.08222546283275285</v>
      </c>
      <c r="L20" s="56"/>
    </row>
    <row r="21" spans="1:12" ht="12" customHeight="1">
      <c r="A21" s="21" t="s">
        <v>24</v>
      </c>
      <c r="B21" s="29">
        <v>1</v>
      </c>
      <c r="C21" s="23" t="s">
        <v>25</v>
      </c>
      <c r="D21" s="25">
        <v>250</v>
      </c>
      <c r="E21" s="25">
        <f>D21*B21</f>
        <v>250</v>
      </c>
      <c r="F21" s="25"/>
      <c r="G21" s="25"/>
      <c r="H21" s="20">
        <f t="shared" si="1"/>
        <v>250</v>
      </c>
      <c r="I21" s="25"/>
      <c r="J21" s="25">
        <f>(D21*B21)</f>
        <v>250</v>
      </c>
      <c r="K21" s="26">
        <f>J21/J$39</f>
        <v>0.031625178012597246</v>
      </c>
      <c r="L21" s="56"/>
    </row>
    <row r="22" spans="1:12" ht="12" customHeight="1">
      <c r="A22" s="21" t="s">
        <v>26</v>
      </c>
      <c r="B22" s="29">
        <v>1</v>
      </c>
      <c r="C22" s="23" t="s">
        <v>25</v>
      </c>
      <c r="D22" s="25">
        <v>200</v>
      </c>
      <c r="E22" s="25">
        <f>D22*B22</f>
        <v>200</v>
      </c>
      <c r="F22" s="25"/>
      <c r="G22" s="25"/>
      <c r="H22" s="20">
        <f t="shared" si="1"/>
        <v>200</v>
      </c>
      <c r="I22" s="25"/>
      <c r="J22" s="25">
        <f>(D22*B22)</f>
        <v>200</v>
      </c>
      <c r="K22" s="26">
        <f>J22/J$39</f>
        <v>0.0253001424100778</v>
      </c>
      <c r="L22" s="56"/>
    </row>
    <row r="23" spans="1:12" ht="12" customHeight="1">
      <c r="A23" s="21" t="s">
        <v>27</v>
      </c>
      <c r="B23" s="29">
        <v>1</v>
      </c>
      <c r="C23" s="23" t="s">
        <v>25</v>
      </c>
      <c r="D23" s="25">
        <v>200</v>
      </c>
      <c r="E23" s="25">
        <f>D23*B23</f>
        <v>200</v>
      </c>
      <c r="F23" s="25"/>
      <c r="G23" s="25"/>
      <c r="H23" s="20">
        <f t="shared" si="1"/>
        <v>200</v>
      </c>
      <c r="I23" s="25"/>
      <c r="J23" s="25">
        <f>(D23*B23)</f>
        <v>200</v>
      </c>
      <c r="K23" s="26">
        <f>J23/J$39</f>
        <v>0.0253001424100778</v>
      </c>
      <c r="L23" s="56"/>
    </row>
    <row r="24" spans="1:12" ht="6" customHeight="1">
      <c r="A24" s="28"/>
      <c r="B24" s="19"/>
      <c r="C24" s="19"/>
      <c r="D24" s="19"/>
      <c r="E24" s="25"/>
      <c r="F24" s="25"/>
      <c r="G24" s="25"/>
      <c r="H24" s="20"/>
      <c r="I24" s="25"/>
      <c r="J24" s="25"/>
      <c r="K24" s="26"/>
      <c r="L24" s="56"/>
    </row>
    <row r="25" spans="1:12" ht="13.5" customHeight="1">
      <c r="A25" s="18" t="s">
        <v>28</v>
      </c>
      <c r="B25" s="19"/>
      <c r="C25" s="19"/>
      <c r="D25" s="19"/>
      <c r="E25" s="20">
        <f aca="true" t="shared" si="3" ref="E25:K25">SUM(E26:E35)</f>
        <v>544.318</v>
      </c>
      <c r="F25" s="20">
        <f t="shared" si="3"/>
        <v>238.77300000000002</v>
      </c>
      <c r="G25" s="20">
        <f t="shared" si="3"/>
        <v>431.804</v>
      </c>
      <c r="H25" s="20">
        <f t="shared" si="3"/>
        <v>1214.8950000000002</v>
      </c>
      <c r="I25" s="20">
        <f t="shared" si="3"/>
        <v>3344.8549999999996</v>
      </c>
      <c r="J25" s="20">
        <f t="shared" si="3"/>
        <v>4559.75</v>
      </c>
      <c r="K25" s="51">
        <f t="shared" si="3"/>
        <v>0.5768116217717612</v>
      </c>
      <c r="L25" s="56"/>
    </row>
    <row r="26" spans="1:12" ht="12" customHeight="1">
      <c r="A26" s="21" t="s">
        <v>29</v>
      </c>
      <c r="B26" s="29">
        <v>0.124</v>
      </c>
      <c r="C26" s="23" t="s">
        <v>30</v>
      </c>
      <c r="D26" s="25">
        <v>500</v>
      </c>
      <c r="E26" s="25">
        <f>(D26*B26)</f>
        <v>62</v>
      </c>
      <c r="F26" s="25"/>
      <c r="G26" s="25"/>
      <c r="H26" s="20">
        <f t="shared" si="1"/>
        <v>62</v>
      </c>
      <c r="I26" s="25"/>
      <c r="J26" s="25">
        <f aca="true" t="shared" si="4" ref="J26:J35">(D26*B26)</f>
        <v>62</v>
      </c>
      <c r="K26" s="26">
        <f aca="true" t="shared" si="5" ref="K26:K35">J26/J$39</f>
        <v>0.007843044147124117</v>
      </c>
      <c r="L26" s="56"/>
    </row>
    <row r="27" spans="1:12" ht="12" customHeight="1">
      <c r="A27" s="21" t="s">
        <v>31</v>
      </c>
      <c r="B27" s="29">
        <v>0.376</v>
      </c>
      <c r="C27" s="23" t="s">
        <v>30</v>
      </c>
      <c r="D27" s="25">
        <f>+D26</f>
        <v>500</v>
      </c>
      <c r="E27" s="25">
        <f>(J27*0.15)</f>
        <v>28.2</v>
      </c>
      <c r="F27" s="25"/>
      <c r="G27" s="25">
        <f>(J27*0.85)</f>
        <v>159.79999999999998</v>
      </c>
      <c r="H27" s="20">
        <f t="shared" si="1"/>
        <v>187.99999999999997</v>
      </c>
      <c r="I27" s="25"/>
      <c r="J27" s="25">
        <f t="shared" si="4"/>
        <v>188</v>
      </c>
      <c r="K27" s="26">
        <f t="shared" si="5"/>
        <v>0.02378213386547313</v>
      </c>
      <c r="L27" s="56"/>
    </row>
    <row r="28" spans="1:11" ht="12" customHeight="1">
      <c r="A28" s="21" t="s">
        <v>32</v>
      </c>
      <c r="B28" s="29">
        <v>0.626</v>
      </c>
      <c r="C28" s="23" t="s">
        <v>30</v>
      </c>
      <c r="D28" s="25">
        <f aca="true" t="shared" si="6" ref="D28:D35">+D27</f>
        <v>500</v>
      </c>
      <c r="E28" s="25">
        <f>(D28*B28)</f>
        <v>313</v>
      </c>
      <c r="F28" s="25"/>
      <c r="G28" s="25"/>
      <c r="H28" s="20">
        <f t="shared" si="1"/>
        <v>313</v>
      </c>
      <c r="I28" s="25"/>
      <c r="J28" s="25">
        <f t="shared" si="4"/>
        <v>313</v>
      </c>
      <c r="K28" s="26">
        <f t="shared" si="5"/>
        <v>0.03959472287177175</v>
      </c>
    </row>
    <row r="29" spans="1:12" ht="12" customHeight="1">
      <c r="A29" s="21" t="s">
        <v>33</v>
      </c>
      <c r="B29" s="29">
        <v>0.094</v>
      </c>
      <c r="C29" s="23" t="s">
        <v>30</v>
      </c>
      <c r="D29" s="25">
        <f t="shared" si="6"/>
        <v>500</v>
      </c>
      <c r="E29" s="30">
        <v>0</v>
      </c>
      <c r="F29" s="25">
        <f>(D29*B29)</f>
        <v>47</v>
      </c>
      <c r="G29" s="25"/>
      <c r="H29" s="20">
        <f t="shared" si="1"/>
        <v>47</v>
      </c>
      <c r="I29" s="25"/>
      <c r="J29" s="25">
        <f t="shared" si="4"/>
        <v>47</v>
      </c>
      <c r="K29" s="26">
        <f t="shared" si="5"/>
        <v>0.005945533466368283</v>
      </c>
      <c r="L29" s="57"/>
    </row>
    <row r="30" spans="1:11" ht="12" customHeight="1">
      <c r="A30" s="21" t="s">
        <v>34</v>
      </c>
      <c r="B30" s="29">
        <v>1.988</v>
      </c>
      <c r="C30" s="23" t="s">
        <v>30</v>
      </c>
      <c r="D30" s="25">
        <f t="shared" si="6"/>
        <v>500</v>
      </c>
      <c r="E30" s="25">
        <f>(J30*0.025)</f>
        <v>24.85</v>
      </c>
      <c r="F30" s="25">
        <f>(J30*0.042)</f>
        <v>41.748000000000005</v>
      </c>
      <c r="G30" s="25">
        <f>(J30*0.073)</f>
        <v>72.562</v>
      </c>
      <c r="H30" s="20">
        <f t="shared" si="1"/>
        <v>139.16000000000003</v>
      </c>
      <c r="I30" s="25">
        <f>(J30*0.86)</f>
        <v>854.84</v>
      </c>
      <c r="J30" s="25">
        <f t="shared" si="4"/>
        <v>994</v>
      </c>
      <c r="K30" s="26">
        <f t="shared" si="5"/>
        <v>0.12574170777808666</v>
      </c>
    </row>
    <row r="31" spans="1:11" ht="12" customHeight="1">
      <c r="A31" s="21" t="s">
        <v>35</v>
      </c>
      <c r="B31" s="29">
        <v>0.475</v>
      </c>
      <c r="C31" s="23" t="s">
        <v>30</v>
      </c>
      <c r="D31" s="25">
        <f t="shared" si="6"/>
        <v>500</v>
      </c>
      <c r="E31" s="25">
        <f>(J31*0.05)</f>
        <v>11.875</v>
      </c>
      <c r="F31" s="25">
        <f>(J31*0.05)</f>
        <v>11.875</v>
      </c>
      <c r="G31" s="25">
        <f>(J31*0.09)</f>
        <v>21.375</v>
      </c>
      <c r="H31" s="20">
        <f t="shared" si="1"/>
        <v>45.125</v>
      </c>
      <c r="I31" s="25">
        <f>(J31*0.81)</f>
        <v>192.375</v>
      </c>
      <c r="J31" s="25">
        <f t="shared" si="4"/>
        <v>237.5</v>
      </c>
      <c r="K31" s="26">
        <f t="shared" si="5"/>
        <v>0.030043919111967386</v>
      </c>
    </row>
    <row r="32" spans="1:11" ht="12" customHeight="1">
      <c r="A32" s="21" t="s">
        <v>36</v>
      </c>
      <c r="B32" s="29">
        <f>0.3494+0.3932</f>
        <v>0.7425999999999999</v>
      </c>
      <c r="C32" s="23" t="s">
        <v>30</v>
      </c>
      <c r="D32" s="25">
        <f t="shared" si="6"/>
        <v>500</v>
      </c>
      <c r="E32" s="25">
        <f>(J32*0.05)</f>
        <v>18.564999999999998</v>
      </c>
      <c r="F32" s="25">
        <f>(J32*0.05)</f>
        <v>18.564999999999998</v>
      </c>
      <c r="G32" s="25">
        <f>(J32*0.06)</f>
        <v>22.277999999999995</v>
      </c>
      <c r="H32" s="20">
        <f t="shared" si="1"/>
        <v>59.40799999999999</v>
      </c>
      <c r="I32" s="25">
        <f>(J32*0.84)</f>
        <v>311.89199999999994</v>
      </c>
      <c r="J32" s="25">
        <f t="shared" si="4"/>
        <v>371.29999999999995</v>
      </c>
      <c r="K32" s="26">
        <f t="shared" si="5"/>
        <v>0.04696971438430943</v>
      </c>
    </row>
    <row r="33" spans="1:11" ht="12" customHeight="1">
      <c r="A33" s="21" t="s">
        <v>37</v>
      </c>
      <c r="B33" s="29">
        <v>1.4077</v>
      </c>
      <c r="C33" s="23" t="s">
        <v>30</v>
      </c>
      <c r="D33" s="25">
        <f t="shared" si="6"/>
        <v>500</v>
      </c>
      <c r="E33" s="25">
        <f>(J33*0.08)</f>
        <v>56.308</v>
      </c>
      <c r="F33" s="25">
        <f>(J33*0.1)</f>
        <v>70.385</v>
      </c>
      <c r="G33" s="25">
        <f>(J33*0.1)</f>
        <v>70.385</v>
      </c>
      <c r="H33" s="20">
        <f t="shared" si="1"/>
        <v>197.07800000000003</v>
      </c>
      <c r="I33" s="25">
        <f>(J33*0.72)</f>
        <v>506.772</v>
      </c>
      <c r="J33" s="25">
        <f t="shared" si="4"/>
        <v>703.85</v>
      </c>
      <c r="K33" s="26">
        <f t="shared" si="5"/>
        <v>0.0890375261766663</v>
      </c>
    </row>
    <row r="34" spans="1:11" ht="12" customHeight="1">
      <c r="A34" s="21" t="s">
        <v>38</v>
      </c>
      <c r="B34" s="29">
        <v>1.968</v>
      </c>
      <c r="C34" s="23" t="s">
        <v>30</v>
      </c>
      <c r="D34" s="25">
        <f t="shared" si="6"/>
        <v>500</v>
      </c>
      <c r="E34" s="25">
        <f>(J34*0.03)</f>
        <v>29.52</v>
      </c>
      <c r="F34" s="25">
        <f>(J34*0.05)</f>
        <v>49.2</v>
      </c>
      <c r="G34" s="25">
        <f>(J34*0.06)</f>
        <v>59.04</v>
      </c>
      <c r="H34" s="20">
        <f t="shared" si="1"/>
        <v>137.76</v>
      </c>
      <c r="I34" s="25">
        <f>(J34*0.86)</f>
        <v>846.24</v>
      </c>
      <c r="J34" s="25">
        <f t="shared" si="4"/>
        <v>984</v>
      </c>
      <c r="K34" s="26">
        <f t="shared" si="5"/>
        <v>0.12447670065758276</v>
      </c>
    </row>
    <row r="35" spans="1:11" ht="12" customHeight="1" thickBot="1">
      <c r="A35" s="31" t="s">
        <v>39</v>
      </c>
      <c r="B35" s="32">
        <v>1.3182</v>
      </c>
      <c r="C35" s="33" t="s">
        <v>30</v>
      </c>
      <c r="D35" s="34">
        <f t="shared" si="6"/>
        <v>500</v>
      </c>
      <c r="E35" s="35">
        <v>0</v>
      </c>
      <c r="F35" s="34"/>
      <c r="G35" s="34">
        <f>(J35*0.04)</f>
        <v>26.364</v>
      </c>
      <c r="H35" s="36">
        <f t="shared" si="1"/>
        <v>26.364</v>
      </c>
      <c r="I35" s="34">
        <f>(J35*0.96)</f>
        <v>632.736</v>
      </c>
      <c r="J35" s="34">
        <f t="shared" si="4"/>
        <v>659.1</v>
      </c>
      <c r="K35" s="37">
        <f t="shared" si="5"/>
        <v>0.08337661931241139</v>
      </c>
    </row>
    <row r="36" spans="1:12" ht="12.75" customHeight="1">
      <c r="A36" s="38" t="s">
        <v>40</v>
      </c>
      <c r="B36" s="39"/>
      <c r="C36" s="39"/>
      <c r="D36" s="40"/>
      <c r="E36" s="41">
        <f aca="true" t="shared" si="7" ref="E36:K36">E10+E20+E25</f>
        <v>2885.025610796154</v>
      </c>
      <c r="F36" s="42">
        <f t="shared" si="7"/>
        <v>347.37997702471864</v>
      </c>
      <c r="G36" s="42">
        <f t="shared" si="7"/>
        <v>446.2303763588574</v>
      </c>
      <c r="H36" s="43">
        <f>H10+H20+H25</f>
        <v>3678.6359641797308</v>
      </c>
      <c r="I36" s="42">
        <f>I10+I20+I25</f>
        <v>3497.375149908393</v>
      </c>
      <c r="J36" s="44">
        <f t="shared" si="7"/>
        <v>7176.011114088124</v>
      </c>
      <c r="K36" s="68">
        <f t="shared" si="7"/>
        <v>0.9077705156136527</v>
      </c>
      <c r="L36" s="70"/>
    </row>
    <row r="37" spans="1:12" ht="12.75" customHeight="1">
      <c r="A37" s="45" t="s">
        <v>41</v>
      </c>
      <c r="B37" s="39"/>
      <c r="C37" s="39"/>
      <c r="D37" s="40"/>
      <c r="E37" s="46">
        <f aca="true" t="shared" si="8" ref="E37:J37">(E36*0.02)</f>
        <v>57.700512215923084</v>
      </c>
      <c r="F37" s="46">
        <f t="shared" si="8"/>
        <v>6.947599540494373</v>
      </c>
      <c r="G37" s="46">
        <f t="shared" si="8"/>
        <v>8.924607527177148</v>
      </c>
      <c r="H37" s="43">
        <f t="shared" si="8"/>
        <v>73.57271928359462</v>
      </c>
      <c r="I37" s="46">
        <f t="shared" si="8"/>
        <v>69.94750299816786</v>
      </c>
      <c r="J37" s="47">
        <f t="shared" si="8"/>
        <v>143.52022228176247</v>
      </c>
      <c r="K37" s="69">
        <f>J37/J$39</f>
        <v>0.018155410312273055</v>
      </c>
      <c r="L37" s="71">
        <f>+J37+J38</f>
        <v>729.0827291913533</v>
      </c>
    </row>
    <row r="38" spans="1:13" ht="12.75" customHeight="1">
      <c r="A38" s="45" t="s">
        <v>53</v>
      </c>
      <c r="B38" s="39"/>
      <c r="C38" s="39"/>
      <c r="D38" s="40"/>
      <c r="E38" s="46">
        <f aca="true" t="shared" si="9" ref="E38:J38">SUM(E36:E37)*0.08</f>
        <v>235.41808984096616</v>
      </c>
      <c r="F38" s="46">
        <f t="shared" si="9"/>
        <v>28.34620612521704</v>
      </c>
      <c r="G38" s="46">
        <f t="shared" si="9"/>
        <v>36.41239871088277</v>
      </c>
      <c r="H38" s="43">
        <f t="shared" si="9"/>
        <v>300.17669467706605</v>
      </c>
      <c r="I38" s="46">
        <f t="shared" si="9"/>
        <v>285.38581223252487</v>
      </c>
      <c r="J38" s="47">
        <f t="shared" si="9"/>
        <v>585.5625069095909</v>
      </c>
      <c r="K38" s="69">
        <f>J38/J$39</f>
        <v>0.07407407407407407</v>
      </c>
      <c r="L38" s="70"/>
      <c r="M38" s="53"/>
    </row>
    <row r="39" spans="1:12" s="10" customFormat="1" ht="16.5" customHeight="1" thickBot="1">
      <c r="A39" s="78" t="s">
        <v>42</v>
      </c>
      <c r="B39" s="79"/>
      <c r="C39" s="79"/>
      <c r="D39" s="80"/>
      <c r="E39" s="81">
        <f aca="true" t="shared" si="10" ref="E39:K39">SUM(E36:E38)</f>
        <v>3178.1442128530434</v>
      </c>
      <c r="F39" s="81">
        <f t="shared" si="10"/>
        <v>382.6737826904301</v>
      </c>
      <c r="G39" s="81">
        <f t="shared" si="10"/>
        <v>491.56738259691735</v>
      </c>
      <c r="H39" s="82">
        <f t="shared" si="10"/>
        <v>4052.3853781403914</v>
      </c>
      <c r="I39" s="82">
        <f t="shared" si="10"/>
        <v>3852.7084651390855</v>
      </c>
      <c r="J39" s="83">
        <f t="shared" si="10"/>
        <v>7905.093843279477</v>
      </c>
      <c r="K39" s="84">
        <f t="shared" si="10"/>
        <v>0.9999999999999999</v>
      </c>
      <c r="L39" s="58"/>
    </row>
    <row r="40" spans="1:11" ht="12.75" customHeight="1">
      <c r="A40" s="94" t="s">
        <v>49</v>
      </c>
      <c r="B40" s="94"/>
      <c r="C40" s="94"/>
      <c r="D40" s="94"/>
      <c r="E40" s="94"/>
      <c r="F40" s="94"/>
      <c r="G40" s="94"/>
      <c r="H40" s="94"/>
      <c r="I40" s="94"/>
      <c r="J40" s="94"/>
      <c r="K40" s="60"/>
    </row>
    <row r="41" spans="1:11" ht="39.75" customHeight="1">
      <c r="A41" s="86" t="s">
        <v>56</v>
      </c>
      <c r="B41" s="86"/>
      <c r="C41" s="86"/>
      <c r="D41" s="86"/>
      <c r="E41" s="86"/>
      <c r="F41" s="86"/>
      <c r="G41" s="86"/>
      <c r="H41" s="86"/>
      <c r="I41" s="86"/>
      <c r="J41" s="86"/>
      <c r="K41" s="60"/>
    </row>
    <row r="42" spans="1:11" ht="12.75" customHeight="1">
      <c r="A42" s="61" t="s">
        <v>50</v>
      </c>
      <c r="B42" s="61"/>
      <c r="C42" s="61"/>
      <c r="D42" s="61"/>
      <c r="E42" s="61"/>
      <c r="F42" s="61"/>
      <c r="G42" s="61"/>
      <c r="H42" s="61"/>
      <c r="I42" s="61"/>
      <c r="J42" s="61"/>
      <c r="K42" s="60"/>
    </row>
    <row r="43" spans="1:11" ht="11.25" customHeight="1">
      <c r="A43" s="85" t="s">
        <v>46</v>
      </c>
      <c r="B43" s="85"/>
      <c r="C43" s="85"/>
      <c r="D43" s="85"/>
      <c r="E43" s="85"/>
      <c r="F43" s="85"/>
      <c r="G43" s="85"/>
      <c r="H43" s="85"/>
      <c r="I43" s="85"/>
      <c r="J43" s="85"/>
      <c r="K43" s="60"/>
    </row>
    <row r="44" spans="1:11" ht="13.5" customHeight="1">
      <c r="A44" s="60" t="s">
        <v>48</v>
      </c>
      <c r="B44" s="60"/>
      <c r="C44" s="62"/>
      <c r="D44" s="63"/>
      <c r="E44" s="60"/>
      <c r="F44" s="60"/>
      <c r="G44" s="62"/>
      <c r="H44" s="63"/>
      <c r="I44" s="64"/>
      <c r="J44" s="59">
        <v>600</v>
      </c>
      <c r="K44" s="60"/>
    </row>
    <row r="45" spans="1:11" ht="12" customHeight="1">
      <c r="A45" s="87" t="s">
        <v>47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5.75" customHeight="1">
      <c r="A46" s="60" t="s">
        <v>54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4.25" customHeight="1">
      <c r="A47" s="60" t="s">
        <v>51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0.5" customHeight="1">
      <c r="A48" s="88" t="s">
        <v>52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ht="12.75">
      <c r="A49" s="54"/>
      <c r="B49" s="54"/>
      <c r="C49" s="54"/>
      <c r="D49" s="65"/>
      <c r="E49" s="65"/>
      <c r="F49" s="65"/>
      <c r="G49" s="65"/>
      <c r="H49" s="66"/>
      <c r="I49" s="65"/>
      <c r="J49" s="65"/>
      <c r="K49" s="54"/>
    </row>
    <row r="50" spans="1:11" ht="12.75">
      <c r="A50" s="54"/>
      <c r="B50" s="54"/>
      <c r="C50" s="54"/>
      <c r="D50" s="65"/>
      <c r="E50" s="65"/>
      <c r="F50" s="65"/>
      <c r="G50" s="65"/>
      <c r="H50" s="66"/>
      <c r="I50" s="65"/>
      <c r="J50" s="65"/>
      <c r="K50" s="54"/>
    </row>
    <row r="51" spans="1:11" ht="12.75">
      <c r="A51" s="54"/>
      <c r="B51" s="54"/>
      <c r="C51" s="54"/>
      <c r="D51" s="65"/>
      <c r="E51" s="65"/>
      <c r="F51" s="65"/>
      <c r="G51" s="65"/>
      <c r="H51" s="66"/>
      <c r="I51" s="65"/>
      <c r="J51" s="65"/>
      <c r="K51" s="54"/>
    </row>
    <row r="52" spans="4:10" s="54" customFormat="1" ht="12.75">
      <c r="D52" s="65"/>
      <c r="E52" s="65"/>
      <c r="F52" s="65"/>
      <c r="G52" s="65"/>
      <c r="H52" s="66"/>
      <c r="I52" s="65"/>
      <c r="J52" s="65"/>
    </row>
    <row r="53" spans="4:10" s="54" customFormat="1" ht="12.75">
      <c r="D53" s="65"/>
      <c r="E53" s="65"/>
      <c r="F53" s="65"/>
      <c r="G53" s="65"/>
      <c r="H53" s="66"/>
      <c r="I53" s="65"/>
      <c r="J53" s="65"/>
    </row>
    <row r="54" spans="2:10" s="54" customFormat="1" ht="12.75">
      <c r="B54" s="67"/>
      <c r="D54" s="65"/>
      <c r="E54" s="65"/>
      <c r="F54" s="65"/>
      <c r="G54" s="65"/>
      <c r="H54" s="66"/>
      <c r="I54" s="65"/>
      <c r="J54" s="65"/>
    </row>
    <row r="55" spans="2:10" s="54" customFormat="1" ht="12.75">
      <c r="B55" s="67"/>
      <c r="D55" s="65"/>
      <c r="E55" s="65"/>
      <c r="F55" s="65"/>
      <c r="G55" s="65"/>
      <c r="H55" s="66"/>
      <c r="I55" s="65"/>
      <c r="J55" s="65"/>
    </row>
    <row r="56" spans="2:10" s="54" customFormat="1" ht="12.75">
      <c r="B56" s="67"/>
      <c r="D56" s="65"/>
      <c r="E56" s="65"/>
      <c r="F56" s="65"/>
      <c r="G56" s="65"/>
      <c r="H56" s="66"/>
      <c r="I56" s="65"/>
      <c r="J56" s="65"/>
    </row>
    <row r="57" spans="4:10" s="54" customFormat="1" ht="12.75">
      <c r="D57" s="65"/>
      <c r="E57" s="65"/>
      <c r="F57" s="65"/>
      <c r="G57" s="65"/>
      <c r="H57" s="66"/>
      <c r="I57" s="65"/>
      <c r="J57" s="65"/>
    </row>
    <row r="58" spans="4:10" s="54" customFormat="1" ht="12.75">
      <c r="D58" s="65"/>
      <c r="E58" s="65"/>
      <c r="F58" s="65"/>
      <c r="G58" s="65"/>
      <c r="H58" s="66"/>
      <c r="I58" s="65"/>
      <c r="J58" s="65"/>
    </row>
    <row r="59" spans="2:10" s="54" customFormat="1" ht="12.75">
      <c r="B59" s="67"/>
      <c r="D59" s="65"/>
      <c r="E59" s="65"/>
      <c r="F59" s="65"/>
      <c r="G59" s="65"/>
      <c r="H59" s="66"/>
      <c r="I59" s="65"/>
      <c r="J59" s="65"/>
    </row>
    <row r="60" spans="2:10" s="54" customFormat="1" ht="12.75">
      <c r="B60" s="67"/>
      <c r="D60" s="65"/>
      <c r="E60" s="65"/>
      <c r="F60" s="65"/>
      <c r="G60" s="65"/>
      <c r="H60" s="66"/>
      <c r="I60" s="65"/>
      <c r="J60" s="65"/>
    </row>
    <row r="61" spans="2:10" s="54" customFormat="1" ht="12.75">
      <c r="B61" s="67"/>
      <c r="D61" s="65"/>
      <c r="E61" s="65"/>
      <c r="F61" s="65"/>
      <c r="G61" s="65"/>
      <c r="H61" s="66"/>
      <c r="I61" s="65"/>
      <c r="J61" s="65"/>
    </row>
    <row r="62" spans="2:10" s="54" customFormat="1" ht="12.75">
      <c r="B62" s="67"/>
      <c r="D62" s="65"/>
      <c r="E62" s="65"/>
      <c r="F62" s="65"/>
      <c r="G62" s="65"/>
      <c r="H62" s="66"/>
      <c r="I62" s="65"/>
      <c r="J62" s="65"/>
    </row>
    <row r="63" spans="2:10" s="54" customFormat="1" ht="12.75">
      <c r="B63" s="67"/>
      <c r="D63" s="65"/>
      <c r="E63" s="65"/>
      <c r="F63" s="65"/>
      <c r="G63" s="65"/>
      <c r="H63" s="66"/>
      <c r="I63" s="65"/>
      <c r="J63" s="65"/>
    </row>
    <row r="64" spans="2:10" s="54" customFormat="1" ht="12.75">
      <c r="B64" s="67"/>
      <c r="D64" s="65"/>
      <c r="E64" s="65"/>
      <c r="F64" s="65"/>
      <c r="G64" s="65"/>
      <c r="H64" s="66"/>
      <c r="I64" s="65"/>
      <c r="J64" s="65"/>
    </row>
    <row r="65" spans="2:10" s="54" customFormat="1" ht="12.75">
      <c r="B65" s="67"/>
      <c r="D65" s="65"/>
      <c r="E65" s="65"/>
      <c r="F65" s="65"/>
      <c r="G65" s="65"/>
      <c r="H65" s="66"/>
      <c r="I65" s="65"/>
      <c r="J65" s="65"/>
    </row>
    <row r="66" spans="2:10" s="54" customFormat="1" ht="12.75">
      <c r="B66" s="67"/>
      <c r="D66" s="65"/>
      <c r="E66" s="65"/>
      <c r="F66" s="65"/>
      <c r="G66" s="65"/>
      <c r="H66" s="66"/>
      <c r="I66" s="65"/>
      <c r="J66" s="65"/>
    </row>
    <row r="67" spans="2:10" s="54" customFormat="1" ht="12.75">
      <c r="B67" s="67"/>
      <c r="D67" s="65"/>
      <c r="E67" s="65"/>
      <c r="F67" s="65"/>
      <c r="G67" s="65"/>
      <c r="H67" s="66"/>
      <c r="I67" s="65"/>
      <c r="J67" s="65"/>
    </row>
    <row r="68" spans="2:10" ht="12.75">
      <c r="B68" s="12"/>
      <c r="D68" s="11"/>
      <c r="E68" s="11"/>
      <c r="F68" s="11"/>
      <c r="G68" s="11"/>
      <c r="H68" s="15"/>
      <c r="I68" s="11"/>
      <c r="J68" s="11"/>
    </row>
  </sheetData>
  <sheetProtection/>
  <mergeCells count="9">
    <mergeCell ref="A43:J43"/>
    <mergeCell ref="A41:J41"/>
    <mergeCell ref="A45:K45"/>
    <mergeCell ref="A48:K48"/>
    <mergeCell ref="A2:K2"/>
    <mergeCell ref="A3:K3"/>
    <mergeCell ref="K6:K7"/>
    <mergeCell ref="H6:H7"/>
    <mergeCell ref="A40:J40"/>
  </mergeCells>
  <printOptions/>
  <pageMargins left="0.78" right="0.2362204724409449" top="0.43" bottom="0.75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2017-04-25T16:03:17Z</cp:lastPrinted>
  <dcterms:created xsi:type="dcterms:W3CDTF">2007-12-06T17:18:57Z</dcterms:created>
  <dcterms:modified xsi:type="dcterms:W3CDTF">2019-07-19T16:17:28Z</dcterms:modified>
  <cp:category/>
  <cp:version/>
  <cp:contentType/>
  <cp:contentStatus/>
</cp:coreProperties>
</file>