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'Hoja1'!$A$1:$K$49</definedName>
  </definedNames>
  <calcPr fullCalcOnLoad="1"/>
</workbook>
</file>

<file path=xl/sharedStrings.xml><?xml version="1.0" encoding="utf-8"?>
<sst xmlns="http://schemas.openxmlformats.org/spreadsheetml/2006/main" count="74" uniqueCount="58">
  <si>
    <t xml:space="preserve">  ESTIMADO DE COSTO DE PRODUCCION PARA LA EXPLOTACION DE UNA TAREA  DE GUANABANA</t>
  </si>
  <si>
    <t xml:space="preserve">Valor </t>
  </si>
  <si>
    <t>1er. Año</t>
  </si>
  <si>
    <t>2do. Año</t>
  </si>
  <si>
    <t>3er. Año</t>
  </si>
  <si>
    <t>4-10 Año</t>
  </si>
  <si>
    <t>Costo</t>
  </si>
  <si>
    <t>Actividad</t>
  </si>
  <si>
    <t>Cantidad</t>
  </si>
  <si>
    <t>Unidad</t>
  </si>
  <si>
    <t>Unitario</t>
  </si>
  <si>
    <t>Total</t>
  </si>
  <si>
    <t>1- INSUMOS</t>
  </si>
  <si>
    <t xml:space="preserve">   .1 Compra de Plántulas de Siembra</t>
  </si>
  <si>
    <t>Planta</t>
  </si>
  <si>
    <t xml:space="preserve">   .2 Compra para la Resiembra</t>
  </si>
  <si>
    <t xml:space="preserve">   .3 Compra de Fertilizante </t>
  </si>
  <si>
    <t xml:space="preserve">      (15-15-15)</t>
  </si>
  <si>
    <t>Quintal</t>
  </si>
  <si>
    <t xml:space="preserve">   .4 Compra de Insecticida </t>
  </si>
  <si>
    <t xml:space="preserve">      (Nuvacrón 60)</t>
  </si>
  <si>
    <t>Litro</t>
  </si>
  <si>
    <t xml:space="preserve">   .5 Compra de Fungicida</t>
  </si>
  <si>
    <t xml:space="preserve">      (Dithane M-45)</t>
  </si>
  <si>
    <t>Kilo</t>
  </si>
  <si>
    <t>2-  PREPARACION DEL TERRENO</t>
  </si>
  <si>
    <t xml:space="preserve">   .1 Corte (Mecanizado)</t>
  </si>
  <si>
    <t>Tarea</t>
  </si>
  <si>
    <t xml:space="preserve">   .2 Cruce (Mecanizado)</t>
  </si>
  <si>
    <t xml:space="preserve">   .3 Rastra (Mecanicado)</t>
  </si>
  <si>
    <t>3-  MANO DE OBRA</t>
  </si>
  <si>
    <t xml:space="preserve">   .1  Marcado y Alineación</t>
  </si>
  <si>
    <t>Hom-Día</t>
  </si>
  <si>
    <t xml:space="preserve">   .2  Transporte de Plantas</t>
  </si>
  <si>
    <t xml:space="preserve">   .3  Construcción de Hoyos Siembra</t>
  </si>
  <si>
    <t xml:space="preserve">   .4  Construccion de Hoyos Resiembra</t>
  </si>
  <si>
    <t xml:space="preserve">   .5  Transporte de Fertilizantes</t>
  </si>
  <si>
    <t xml:space="preserve">   .6  Aplicación de Fertilizantes</t>
  </si>
  <si>
    <t xml:space="preserve">   .7  Aplicación de Pesticidas</t>
  </si>
  <si>
    <t xml:space="preserve">   .8  Desyerbo</t>
  </si>
  <si>
    <t xml:space="preserve">   .9  Deschuponado y Poda</t>
  </si>
  <si>
    <t xml:space="preserve">   .10 Recolección y Empaque</t>
  </si>
  <si>
    <t xml:space="preserve"> SUBTOTAL</t>
  </si>
  <si>
    <t xml:space="preserve"> GASTOS ADMINISTRATIVOS (2%)</t>
  </si>
  <si>
    <t xml:space="preserve"> TOTAL GENERAL</t>
  </si>
  <si>
    <t>Partipación (%) por Actividad</t>
  </si>
  <si>
    <t>Total Costo Fomento</t>
  </si>
  <si>
    <t>Las unidades de médida expresadas en los insumos corresponde a la forma en la que los productores  la obtienen de los puntos de venta o agroquímicas.</t>
  </si>
  <si>
    <t>COSTO FOMENTO: desde el año 1 al 3   Y  COSTO MANTENIMIENTO:  del cuarto año en adelante.</t>
  </si>
  <si>
    <t>Una Hectárea equivale a 15.9 tareas.</t>
  </si>
  <si>
    <t>Notas:</t>
  </si>
  <si>
    <t>El uso de una "MARCA DE FABRICA" no constituye una recomendación del producto, sino lo que informaron los productores.</t>
  </si>
  <si>
    <t xml:space="preserve">               Estimados por la División de Estudios Económicos.</t>
  </si>
  <si>
    <t>Fuente:  Ministerio de Agricultura, Departamento de Economía Agropecuaria.</t>
  </si>
  <si>
    <t>Página 155</t>
  </si>
  <si>
    <t xml:space="preserve"> GASTOS INTERESES 8.0% ANUAL (12 meses 8.0%)</t>
  </si>
  <si>
    <t xml:space="preserve">  REPUBLICA DOMINICANA, 2019.- (En RD$).-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</si>
  <si>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los insumos actualizados a mayo, 2019.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</si>
</sst>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0.0000_)"/>
    <numFmt numFmtId="189" formatCode="#,##0.0\ _€;\-#,##0.0\ _€"/>
    <numFmt numFmtId="190" formatCode="_(* #,##0.0_);_(* \(#,##0.0\);_(* &quot;-&quot;??_);_(@_)"/>
    <numFmt numFmtId="191" formatCode="_(* #,##0_);_(* \(#,##0\);_(* &quot;-&quot;??_);_(@_)"/>
    <numFmt numFmtId="192" formatCode="0.000_)"/>
    <numFmt numFmtId="193" formatCode="#,##0.00_ ;\-#,##0.00\ "/>
    <numFmt numFmtId="194" formatCode="0_)"/>
  </numFmts>
  <fonts count="46">
    <font>
      <sz val="10"/>
      <name val="Arial"/>
      <family val="0"/>
    </font>
    <font>
      <sz val="11"/>
      <color indexed="8"/>
      <name val="Baskerville Old Face"/>
      <family val="1"/>
    </font>
    <font>
      <sz val="10"/>
      <name val="Baskerville Old Face"/>
      <family val="1"/>
    </font>
    <font>
      <b/>
      <sz val="10"/>
      <name val="Baskerville Old Face"/>
      <family val="1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Baskerville Old Face"/>
      <family val="1"/>
    </font>
    <font>
      <b/>
      <sz val="10"/>
      <color indexed="9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Baskerville Old Face"/>
      <family val="1"/>
    </font>
    <font>
      <b/>
      <sz val="10"/>
      <color theme="0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 applyProtection="1">
      <alignment horizontal="fill"/>
      <protection/>
    </xf>
    <xf numFmtId="0" fontId="5" fillId="33" borderId="11" xfId="0" applyFont="1" applyFill="1" applyBorder="1" applyAlignment="1" applyProtection="1">
      <alignment horizontal="fill"/>
      <protection/>
    </xf>
    <xf numFmtId="0" fontId="6" fillId="33" borderId="12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>
      <alignment/>
    </xf>
    <xf numFmtId="43" fontId="5" fillId="33" borderId="11" xfId="47" applyFont="1" applyFill="1" applyBorder="1" applyAlignment="1">
      <alignment/>
    </xf>
    <xf numFmtId="0" fontId="6" fillId="33" borderId="10" xfId="0" applyFont="1" applyFill="1" applyBorder="1" applyAlignment="1" applyProtection="1">
      <alignment horizontal="left"/>
      <protection/>
    </xf>
    <xf numFmtId="187" fontId="6" fillId="33" borderId="11" xfId="0" applyNumberFormat="1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center"/>
      <protection/>
    </xf>
    <xf numFmtId="187" fontId="5" fillId="33" borderId="11" xfId="0" applyNumberFormat="1" applyFont="1" applyFill="1" applyBorder="1" applyAlignment="1">
      <alignment/>
    </xf>
    <xf numFmtId="9" fontId="6" fillId="33" borderId="12" xfId="53" applyFont="1" applyFill="1" applyBorder="1" applyAlignment="1">
      <alignment horizontal="center"/>
    </xf>
    <xf numFmtId="188" fontId="6" fillId="33" borderId="11" xfId="0" applyNumberFormat="1" applyFont="1" applyFill="1" applyBorder="1" applyAlignment="1" applyProtection="1">
      <alignment/>
      <protection/>
    </xf>
    <xf numFmtId="189" fontId="6" fillId="33" borderId="11" xfId="0" applyNumberFormat="1" applyFont="1" applyFill="1" applyBorder="1" applyAlignment="1" applyProtection="1">
      <alignment/>
      <protection/>
    </xf>
    <xf numFmtId="191" fontId="6" fillId="33" borderId="11" xfId="47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6" fillId="33" borderId="13" xfId="0" applyFont="1" applyFill="1" applyBorder="1" applyAlignment="1" applyProtection="1">
      <alignment horizontal="left"/>
      <protection/>
    </xf>
    <xf numFmtId="188" fontId="6" fillId="33" borderId="14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center"/>
      <protection/>
    </xf>
    <xf numFmtId="187" fontId="6" fillId="33" borderId="14" xfId="0" applyNumberFormat="1" applyFont="1" applyFill="1" applyBorder="1" applyAlignment="1" applyProtection="1">
      <alignment/>
      <protection/>
    </xf>
    <xf numFmtId="187" fontId="5" fillId="33" borderId="14" xfId="0" applyNumberFormat="1" applyFont="1" applyFill="1" applyBorder="1" applyAlignment="1">
      <alignment/>
    </xf>
    <xf numFmtId="9" fontId="6" fillId="33" borderId="15" xfId="53" applyFont="1" applyFill="1" applyBorder="1" applyAlignment="1">
      <alignment horizontal="center"/>
    </xf>
    <xf numFmtId="0" fontId="5" fillId="33" borderId="16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/>
    </xf>
    <xf numFmtId="39" fontId="5" fillId="33" borderId="17" xfId="0" applyNumberFormat="1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left"/>
      <protection/>
    </xf>
    <xf numFmtId="39" fontId="6" fillId="33" borderId="17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7" fontId="6" fillId="33" borderId="0" xfId="0" applyNumberFormat="1" applyFont="1" applyFill="1" applyAlignment="1" applyProtection="1">
      <alignment/>
      <protection/>
    </xf>
    <xf numFmtId="10" fontId="6" fillId="33" borderId="0" xfId="0" applyNumberFormat="1" applyFont="1" applyFill="1" applyAlignment="1" applyProtection="1">
      <alignment/>
      <protection/>
    </xf>
    <xf numFmtId="194" fontId="6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188" fontId="6" fillId="33" borderId="0" xfId="0" applyNumberFormat="1" applyFont="1" applyFill="1" applyAlignment="1" applyProtection="1">
      <alignment/>
      <protection/>
    </xf>
    <xf numFmtId="187" fontId="6" fillId="33" borderId="0" xfId="0" applyNumberFormat="1" applyFont="1" applyFill="1" applyAlignment="1" applyProtection="1">
      <alignment/>
      <protection/>
    </xf>
    <xf numFmtId="187" fontId="5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187" fontId="2" fillId="33" borderId="0" xfId="0" applyNumberFormat="1" applyFont="1" applyFill="1" applyAlignment="1">
      <alignment/>
    </xf>
    <xf numFmtId="192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9" fontId="5" fillId="33" borderId="17" xfId="53" applyFont="1" applyFill="1" applyBorder="1" applyAlignment="1" applyProtection="1">
      <alignment horizontal="center"/>
      <protection/>
    </xf>
    <xf numFmtId="9" fontId="6" fillId="33" borderId="17" xfId="53" applyFont="1" applyFill="1" applyBorder="1" applyAlignment="1" applyProtection="1">
      <alignment horizontal="center"/>
      <protection/>
    </xf>
    <xf numFmtId="43" fontId="5" fillId="33" borderId="18" xfId="47" applyFont="1" applyFill="1" applyBorder="1" applyAlignment="1">
      <alignment horizontal="center"/>
    </xf>
    <xf numFmtId="0" fontId="44" fillId="33" borderId="0" xfId="0" applyFont="1" applyFill="1" applyAlignment="1">
      <alignment/>
    </xf>
    <xf numFmtId="39" fontId="44" fillId="33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left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left"/>
      <protection/>
    </xf>
    <xf numFmtId="0" fontId="5" fillId="34" borderId="22" xfId="0" applyFont="1" applyFill="1" applyBorder="1" applyAlignment="1">
      <alignment/>
    </xf>
    <xf numFmtId="39" fontId="5" fillId="34" borderId="23" xfId="0" applyNumberFormat="1" applyFont="1" applyFill="1" applyBorder="1" applyAlignment="1" applyProtection="1">
      <alignment/>
      <protection/>
    </xf>
    <xf numFmtId="9" fontId="5" fillId="34" borderId="23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/>
    </xf>
    <xf numFmtId="0" fontId="6" fillId="34" borderId="24" xfId="0" applyFont="1" applyFill="1" applyBorder="1" applyAlignment="1">
      <alignment horizontal="center" vertical="justify"/>
    </xf>
    <xf numFmtId="0" fontId="6" fillId="34" borderId="15" xfId="0" applyFont="1" applyFill="1" applyBorder="1" applyAlignment="1">
      <alignment horizontal="center" vertical="justify"/>
    </xf>
    <xf numFmtId="0" fontId="5" fillId="34" borderId="25" xfId="0" applyFont="1" applyFill="1" applyBorder="1" applyAlignment="1" applyProtection="1">
      <alignment horizontal="center" vertical="justify"/>
      <protection/>
    </xf>
    <xf numFmtId="0" fontId="5" fillId="34" borderId="26" xfId="0" applyFont="1" applyFill="1" applyBorder="1" applyAlignment="1" applyProtection="1">
      <alignment horizontal="center" vertical="justify"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 wrapText="1"/>
      <protection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PageLayoutView="0" workbookViewId="0" topLeftCell="A7">
      <selection activeCell="D25" sqref="D25"/>
    </sheetView>
  </sheetViews>
  <sheetFormatPr defaultColWidth="11.00390625" defaultRowHeight="12.75"/>
  <cols>
    <col min="1" max="1" width="28.8515625" style="4" customWidth="1"/>
    <col min="2" max="2" width="8.28125" style="4" customWidth="1"/>
    <col min="3" max="3" width="8.140625" style="4" customWidth="1"/>
    <col min="4" max="4" width="8.28125" style="4" customWidth="1"/>
    <col min="5" max="5" width="10.00390625" style="4" customWidth="1"/>
    <col min="6" max="6" width="11.28125" style="4" bestFit="1" customWidth="1"/>
    <col min="7" max="7" width="11.57421875" style="4" bestFit="1" customWidth="1"/>
    <col min="8" max="8" width="11.28125" style="5" customWidth="1"/>
    <col min="9" max="9" width="13.421875" style="4" bestFit="1" customWidth="1"/>
    <col min="10" max="10" width="13.7109375" style="4" bestFit="1" customWidth="1"/>
    <col min="11" max="11" width="10.421875" style="4" customWidth="1"/>
    <col min="12" max="20" width="11.00390625" style="39" customWidth="1"/>
    <col min="21" max="16384" width="11.00390625" style="2" customWidth="1"/>
  </cols>
  <sheetData>
    <row r="1" spans="1:20" s="1" customFormat="1" ht="17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43"/>
      <c r="M1" s="43"/>
      <c r="N1" s="43"/>
      <c r="O1" s="43"/>
      <c r="P1" s="43"/>
      <c r="Q1" s="43"/>
      <c r="R1" s="43"/>
      <c r="S1" s="43"/>
      <c r="T1" s="43"/>
    </row>
    <row r="2" spans="1:20" s="1" customFormat="1" ht="18.75" customHeight="1">
      <c r="A2" s="63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43"/>
      <c r="M2" s="43"/>
      <c r="N2" s="43"/>
      <c r="O2" s="43"/>
      <c r="P2" s="43"/>
      <c r="Q2" s="43"/>
      <c r="R2" s="43"/>
      <c r="S2" s="43"/>
      <c r="T2" s="43"/>
    </row>
    <row r="3" spans="1:20" s="1" customFormat="1" ht="2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43"/>
      <c r="M3" s="43"/>
      <c r="N3" s="43"/>
      <c r="O3" s="43"/>
      <c r="P3" s="43"/>
      <c r="Q3" s="43"/>
      <c r="R3" s="43"/>
      <c r="S3" s="43"/>
      <c r="T3" s="43"/>
    </row>
    <row r="4" spans="1:11" ht="19.5" customHeight="1" thickBot="1">
      <c r="A4" s="28"/>
      <c r="B4" s="28"/>
      <c r="C4" s="28"/>
      <c r="D4" s="28"/>
      <c r="E4" s="28"/>
      <c r="F4" s="28"/>
      <c r="G4" s="28"/>
      <c r="H4" s="32"/>
      <c r="I4" s="28"/>
      <c r="J4" s="28"/>
      <c r="K4" s="33"/>
    </row>
    <row r="5" spans="1:11" ht="15" customHeight="1">
      <c r="A5" s="54"/>
      <c r="B5" s="55"/>
      <c r="C5" s="55"/>
      <c r="D5" s="56" t="s">
        <v>1</v>
      </c>
      <c r="E5" s="56" t="s">
        <v>2</v>
      </c>
      <c r="F5" s="56" t="s">
        <v>3</v>
      </c>
      <c r="G5" s="56" t="s">
        <v>4</v>
      </c>
      <c r="H5" s="67" t="s">
        <v>46</v>
      </c>
      <c r="I5" s="56" t="s">
        <v>5</v>
      </c>
      <c r="J5" s="56" t="s">
        <v>6</v>
      </c>
      <c r="K5" s="65" t="s">
        <v>45</v>
      </c>
    </row>
    <row r="6" spans="1:11" ht="15" customHeight="1" thickBot="1">
      <c r="A6" s="57" t="s">
        <v>7</v>
      </c>
      <c r="B6" s="58" t="s">
        <v>8</v>
      </c>
      <c r="C6" s="58" t="s">
        <v>9</v>
      </c>
      <c r="D6" s="58" t="s">
        <v>10</v>
      </c>
      <c r="E6" s="58" t="s">
        <v>6</v>
      </c>
      <c r="F6" s="58" t="s">
        <v>6</v>
      </c>
      <c r="G6" s="58" t="s">
        <v>6</v>
      </c>
      <c r="H6" s="68"/>
      <c r="I6" s="58" t="s">
        <v>6</v>
      </c>
      <c r="J6" s="58" t="s">
        <v>11</v>
      </c>
      <c r="K6" s="66"/>
    </row>
    <row r="7" spans="1:11" ht="6" customHeight="1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6.5" customHeight="1">
      <c r="A8" s="9" t="s">
        <v>12</v>
      </c>
      <c r="B8" s="10"/>
      <c r="C8" s="10"/>
      <c r="D8" s="10"/>
      <c r="E8" s="11">
        <f>SUM(E9:E16)</f>
        <v>399.3516575</v>
      </c>
      <c r="F8" s="11">
        <f aca="true" t="shared" si="0" ref="F8:K8">SUM(F9:F16)</f>
        <v>436.7379235</v>
      </c>
      <c r="G8" s="11">
        <f t="shared" si="0"/>
        <v>188.57817549999996</v>
      </c>
      <c r="H8" s="11">
        <f t="shared" si="0"/>
        <v>1024.6677565</v>
      </c>
      <c r="I8" s="11">
        <f t="shared" si="0"/>
        <v>2554.3527434999996</v>
      </c>
      <c r="J8" s="11">
        <f t="shared" si="0"/>
        <v>3579.0205</v>
      </c>
      <c r="K8" s="49">
        <f t="shared" si="0"/>
        <v>0.41653631104219396</v>
      </c>
    </row>
    <row r="9" spans="1:13" ht="13.5">
      <c r="A9" s="12" t="s">
        <v>13</v>
      </c>
      <c r="B9" s="13">
        <v>15</v>
      </c>
      <c r="C9" s="14" t="s">
        <v>14</v>
      </c>
      <c r="D9" s="13">
        <v>20</v>
      </c>
      <c r="E9" s="13">
        <f>(D9*B9)</f>
        <v>300</v>
      </c>
      <c r="F9" s="10"/>
      <c r="G9" s="10"/>
      <c r="H9" s="15">
        <f>SUM(E9:G9)</f>
        <v>300</v>
      </c>
      <c r="I9" s="10"/>
      <c r="J9" s="13">
        <f>(D9*B9)</f>
        <v>300</v>
      </c>
      <c r="K9" s="16">
        <f>J9/J$37</f>
        <v>0.0349148302762329</v>
      </c>
      <c r="M9" s="44"/>
    </row>
    <row r="10" spans="1:13" ht="13.5">
      <c r="A10" s="12" t="s">
        <v>15</v>
      </c>
      <c r="B10" s="13">
        <v>15</v>
      </c>
      <c r="C10" s="14" t="s">
        <v>14</v>
      </c>
      <c r="D10" s="13">
        <v>20</v>
      </c>
      <c r="E10" s="13"/>
      <c r="F10" s="13">
        <f>(D10*B10)</f>
        <v>300</v>
      </c>
      <c r="G10" s="10"/>
      <c r="H10" s="15">
        <f aca="true" t="shared" si="1" ref="H10:H33">SUM(E10:G10)</f>
        <v>300</v>
      </c>
      <c r="I10" s="10"/>
      <c r="J10" s="13">
        <f>(D10*B10)</f>
        <v>300</v>
      </c>
      <c r="K10" s="16">
        <f>J10/J$37</f>
        <v>0.0349148302762329</v>
      </c>
      <c r="M10" s="44"/>
    </row>
    <row r="11" spans="1:13" ht="13.5">
      <c r="A11" s="12" t="s">
        <v>16</v>
      </c>
      <c r="B11" s="10"/>
      <c r="C11" s="10"/>
      <c r="D11" s="10"/>
      <c r="E11" s="10"/>
      <c r="F11" s="10"/>
      <c r="G11" s="10"/>
      <c r="H11" s="15"/>
      <c r="I11" s="10"/>
      <c r="J11" s="10"/>
      <c r="K11" s="16"/>
      <c r="M11" s="45"/>
    </row>
    <row r="12" spans="1:13" ht="13.5">
      <c r="A12" s="12" t="s">
        <v>17</v>
      </c>
      <c r="B12" s="17">
        <v>1.828</v>
      </c>
      <c r="C12" s="14" t="s">
        <v>18</v>
      </c>
      <c r="D12" s="18">
        <v>1181.625</v>
      </c>
      <c r="E12" s="13">
        <f>(J12*0.035)</f>
        <v>75.6003675</v>
      </c>
      <c r="F12" s="13">
        <f>(J12*0.047)</f>
        <v>101.5204935</v>
      </c>
      <c r="G12" s="13">
        <f>(J12*0.071)</f>
        <v>153.36074549999998</v>
      </c>
      <c r="H12" s="15">
        <f t="shared" si="1"/>
        <v>330.4816065</v>
      </c>
      <c r="I12" s="19">
        <f>(J12*0.847)</f>
        <v>1829.5288934999999</v>
      </c>
      <c r="J12" s="13">
        <f>(D12*B12)</f>
        <v>2160.0105</v>
      </c>
      <c r="K12" s="16">
        <f>J12/J$37</f>
        <v>0.2513880000079365</v>
      </c>
      <c r="M12" s="44"/>
    </row>
    <row r="13" spans="1:13" ht="13.5">
      <c r="A13" s="12" t="s">
        <v>19</v>
      </c>
      <c r="B13" s="10"/>
      <c r="C13" s="10"/>
      <c r="D13" s="10"/>
      <c r="E13" s="13"/>
      <c r="F13" s="13"/>
      <c r="G13" s="13"/>
      <c r="H13" s="15"/>
      <c r="I13" s="13"/>
      <c r="J13" s="13"/>
      <c r="K13" s="16"/>
      <c r="M13" s="44"/>
    </row>
    <row r="14" spans="1:13" ht="13.5">
      <c r="A14" s="12" t="s">
        <v>20</v>
      </c>
      <c r="B14" s="17">
        <v>0.675</v>
      </c>
      <c r="C14" s="14" t="s">
        <v>21</v>
      </c>
      <c r="D14" s="18">
        <v>950</v>
      </c>
      <c r="E14" s="13">
        <f>(J14*0.029)</f>
        <v>18.59625</v>
      </c>
      <c r="F14" s="13">
        <f>(J14*0.043)</f>
        <v>27.573749999999997</v>
      </c>
      <c r="G14" s="13">
        <f>(J14*0.043)</f>
        <v>27.573749999999997</v>
      </c>
      <c r="H14" s="15">
        <f t="shared" si="1"/>
        <v>73.74375</v>
      </c>
      <c r="I14" s="13">
        <f>(J14*0.885)</f>
        <v>567.50625</v>
      </c>
      <c r="J14" s="13">
        <f>(D14*B14)</f>
        <v>641.25</v>
      </c>
      <c r="K14" s="16">
        <f>J14/J$37</f>
        <v>0.07463044971544781</v>
      </c>
      <c r="M14" s="44"/>
    </row>
    <row r="15" spans="1:13" ht="13.5">
      <c r="A15" s="12" t="s">
        <v>22</v>
      </c>
      <c r="B15" s="17"/>
      <c r="C15" s="10"/>
      <c r="D15" s="10"/>
      <c r="E15" s="13"/>
      <c r="F15" s="13"/>
      <c r="G15" s="13"/>
      <c r="H15" s="15"/>
      <c r="I15" s="13"/>
      <c r="J15" s="13"/>
      <c r="K15" s="16"/>
      <c r="M15" s="44"/>
    </row>
    <row r="16" spans="1:13" ht="13.5">
      <c r="A16" s="12" t="s">
        <v>23</v>
      </c>
      <c r="B16" s="17">
        <v>0.528</v>
      </c>
      <c r="C16" s="14" t="s">
        <v>24</v>
      </c>
      <c r="D16" s="13">
        <v>336.6666666666667</v>
      </c>
      <c r="E16" s="13">
        <f>(J16*0.029)</f>
        <v>5.1550400000000005</v>
      </c>
      <c r="F16" s="13">
        <f>(J16*0.043)</f>
        <v>7.64368</v>
      </c>
      <c r="G16" s="13">
        <f>(J16*0.043)</f>
        <v>7.64368</v>
      </c>
      <c r="H16" s="15">
        <f t="shared" si="1"/>
        <v>20.4424</v>
      </c>
      <c r="I16" s="13">
        <f>(J16*0.885)</f>
        <v>157.31760000000003</v>
      </c>
      <c r="J16" s="13">
        <f>(D16*B16)</f>
        <v>177.76000000000002</v>
      </c>
      <c r="K16" s="16">
        <f>J16/J$37</f>
        <v>0.020688200766343867</v>
      </c>
      <c r="M16" s="44"/>
    </row>
    <row r="17" spans="1:13" ht="3.75" customHeight="1">
      <c r="A17" s="20"/>
      <c r="B17" s="10"/>
      <c r="C17" s="10"/>
      <c r="D17" s="10"/>
      <c r="E17" s="13"/>
      <c r="F17" s="13"/>
      <c r="G17" s="13"/>
      <c r="H17" s="15"/>
      <c r="I17" s="13"/>
      <c r="J17" s="13"/>
      <c r="K17" s="16"/>
      <c r="M17" s="44"/>
    </row>
    <row r="18" spans="1:13" ht="16.5" customHeight="1">
      <c r="A18" s="9" t="s">
        <v>25</v>
      </c>
      <c r="B18" s="10"/>
      <c r="C18" s="10"/>
      <c r="D18" s="10"/>
      <c r="E18" s="11">
        <f>SUM(E19:E21)</f>
        <v>650</v>
      </c>
      <c r="F18" s="11">
        <f aca="true" t="shared" si="2" ref="F18:K18">SUM(F19:F21)</f>
        <v>0</v>
      </c>
      <c r="G18" s="11">
        <f t="shared" si="2"/>
        <v>0</v>
      </c>
      <c r="H18" s="11">
        <f>SUM(H19:H21)</f>
        <v>650</v>
      </c>
      <c r="I18" s="11">
        <f t="shared" si="2"/>
        <v>0</v>
      </c>
      <c r="J18" s="11">
        <f t="shared" si="2"/>
        <v>650</v>
      </c>
      <c r="K18" s="49">
        <f t="shared" si="2"/>
        <v>0.07564879893183794</v>
      </c>
      <c r="M18" s="44"/>
    </row>
    <row r="19" spans="1:13" ht="13.5">
      <c r="A19" s="12" t="s">
        <v>26</v>
      </c>
      <c r="B19" s="17">
        <v>1</v>
      </c>
      <c r="C19" s="14" t="s">
        <v>27</v>
      </c>
      <c r="D19" s="13">
        <v>250</v>
      </c>
      <c r="E19" s="13">
        <f>D19*B19</f>
        <v>250</v>
      </c>
      <c r="F19" s="13"/>
      <c r="G19" s="13"/>
      <c r="H19" s="15">
        <f t="shared" si="1"/>
        <v>250</v>
      </c>
      <c r="I19" s="13"/>
      <c r="J19" s="13">
        <f>(D19*B19)</f>
        <v>250</v>
      </c>
      <c r="K19" s="16">
        <f>J19/J$37</f>
        <v>0.029095691896860745</v>
      </c>
      <c r="M19" s="44"/>
    </row>
    <row r="20" spans="1:13" ht="13.5">
      <c r="A20" s="12" t="s">
        <v>28</v>
      </c>
      <c r="B20" s="17">
        <v>1</v>
      </c>
      <c r="C20" s="14" t="s">
        <v>27</v>
      </c>
      <c r="D20" s="13">
        <v>200</v>
      </c>
      <c r="E20" s="13">
        <f>D20*B20</f>
        <v>200</v>
      </c>
      <c r="F20" s="13"/>
      <c r="G20" s="13"/>
      <c r="H20" s="15">
        <f t="shared" si="1"/>
        <v>200</v>
      </c>
      <c r="I20" s="13"/>
      <c r="J20" s="13">
        <f>(D20*B20)</f>
        <v>200</v>
      </c>
      <c r="K20" s="16">
        <f>J20/J$37</f>
        <v>0.0232765535174886</v>
      </c>
      <c r="M20" s="44"/>
    </row>
    <row r="21" spans="1:13" ht="13.5">
      <c r="A21" s="12" t="s">
        <v>29</v>
      </c>
      <c r="B21" s="17">
        <v>1</v>
      </c>
      <c r="C21" s="14" t="s">
        <v>27</v>
      </c>
      <c r="D21" s="13">
        <v>200</v>
      </c>
      <c r="E21" s="13">
        <f>D21*B21</f>
        <v>200</v>
      </c>
      <c r="F21" s="13"/>
      <c r="G21" s="13"/>
      <c r="H21" s="15">
        <f t="shared" si="1"/>
        <v>200</v>
      </c>
      <c r="I21" s="13"/>
      <c r="J21" s="13">
        <f>(D21*B21)</f>
        <v>200</v>
      </c>
      <c r="K21" s="16">
        <f>J21/J$37</f>
        <v>0.0232765535174886</v>
      </c>
      <c r="M21" s="44"/>
    </row>
    <row r="22" spans="1:13" ht="6.75" customHeight="1">
      <c r="A22" s="20"/>
      <c r="B22" s="10"/>
      <c r="C22" s="10"/>
      <c r="D22" s="10"/>
      <c r="E22" s="13"/>
      <c r="F22" s="13"/>
      <c r="G22" s="13"/>
      <c r="H22" s="15"/>
      <c r="I22" s="13"/>
      <c r="J22" s="13"/>
      <c r="K22" s="16"/>
      <c r="M22" s="44"/>
    </row>
    <row r="23" spans="1:13" ht="13.5" customHeight="1">
      <c r="A23" s="9" t="s">
        <v>30</v>
      </c>
      <c r="B23" s="10"/>
      <c r="C23" s="10"/>
      <c r="D23" s="10"/>
      <c r="E23" s="11">
        <f>SUM(E24:E33)</f>
        <v>623.1006</v>
      </c>
      <c r="F23" s="11">
        <f aca="true" t="shared" si="3" ref="F23:K23">SUM(F24:F33)</f>
        <v>362.15160000000003</v>
      </c>
      <c r="G23" s="11">
        <f t="shared" si="3"/>
        <v>233.60760000000002</v>
      </c>
      <c r="H23" s="11">
        <f t="shared" si="3"/>
        <v>1218.8598000000002</v>
      </c>
      <c r="I23" s="11">
        <f t="shared" si="3"/>
        <v>2351.9901999999997</v>
      </c>
      <c r="J23" s="11">
        <f t="shared" si="3"/>
        <v>3570.85</v>
      </c>
      <c r="K23" s="49">
        <f t="shared" si="3"/>
        <v>0.41558540563962076</v>
      </c>
      <c r="M23" s="44"/>
    </row>
    <row r="24" spans="1:13" ht="12.75" customHeight="1">
      <c r="A24" s="12" t="s">
        <v>31</v>
      </c>
      <c r="B24" s="17">
        <v>0.126</v>
      </c>
      <c r="C24" s="14" t="s">
        <v>32</v>
      </c>
      <c r="D24" s="13">
        <v>500</v>
      </c>
      <c r="E24" s="13">
        <f>(D24*B24)</f>
        <v>63</v>
      </c>
      <c r="F24" s="13"/>
      <c r="G24" s="13"/>
      <c r="H24" s="15">
        <f t="shared" si="1"/>
        <v>63</v>
      </c>
      <c r="I24" s="13"/>
      <c r="J24" s="13">
        <f aca="true" t="shared" si="4" ref="J24:J33">(D24*B24)</f>
        <v>63</v>
      </c>
      <c r="K24" s="16">
        <f aca="true" t="shared" si="5" ref="K24:K33">J24/J$37</f>
        <v>0.007332114358008908</v>
      </c>
      <c r="M24" s="44"/>
    </row>
    <row r="25" spans="1:13" ht="12.75" customHeight="1">
      <c r="A25" s="12" t="s">
        <v>33</v>
      </c>
      <c r="B25" s="17">
        <v>0.382</v>
      </c>
      <c r="C25" s="14" t="s">
        <v>32</v>
      </c>
      <c r="D25" s="13">
        <f>+D24</f>
        <v>500</v>
      </c>
      <c r="E25" s="13">
        <f>(J25*0.836)</f>
        <v>159.676</v>
      </c>
      <c r="F25" s="13">
        <f>(J25*0.164)</f>
        <v>31.324</v>
      </c>
      <c r="G25" s="13"/>
      <c r="H25" s="15">
        <f t="shared" si="1"/>
        <v>191</v>
      </c>
      <c r="I25" s="13"/>
      <c r="J25" s="13">
        <f t="shared" si="4"/>
        <v>191</v>
      </c>
      <c r="K25" s="16">
        <f t="shared" si="5"/>
        <v>0.02222910860920161</v>
      </c>
      <c r="M25" s="44"/>
    </row>
    <row r="26" spans="1:13" ht="12.75" customHeight="1">
      <c r="A26" s="12" t="s">
        <v>34</v>
      </c>
      <c r="B26" s="17">
        <v>0.5</v>
      </c>
      <c r="C26" s="14" t="s">
        <v>32</v>
      </c>
      <c r="D26" s="13">
        <f aca="true" t="shared" si="6" ref="D26:D32">+D25</f>
        <v>500</v>
      </c>
      <c r="E26" s="13">
        <f>(D26*B26)</f>
        <v>250</v>
      </c>
      <c r="F26" s="13"/>
      <c r="G26" s="13"/>
      <c r="H26" s="15">
        <f t="shared" si="1"/>
        <v>250</v>
      </c>
      <c r="I26" s="13"/>
      <c r="J26" s="13">
        <f t="shared" si="4"/>
        <v>250</v>
      </c>
      <c r="K26" s="16">
        <f t="shared" si="5"/>
        <v>0.029095691896860745</v>
      </c>
      <c r="L26" s="44"/>
      <c r="M26" s="44"/>
    </row>
    <row r="27" spans="1:13" ht="12.75" customHeight="1">
      <c r="A27" s="12" t="s">
        <v>35</v>
      </c>
      <c r="B27" s="17">
        <v>0.156</v>
      </c>
      <c r="C27" s="14" t="s">
        <v>32</v>
      </c>
      <c r="D27" s="13">
        <f t="shared" si="6"/>
        <v>500</v>
      </c>
      <c r="E27" s="13"/>
      <c r="F27" s="13">
        <f>(D27*B27)</f>
        <v>78</v>
      </c>
      <c r="G27" s="13"/>
      <c r="H27" s="15">
        <f t="shared" si="1"/>
        <v>78</v>
      </c>
      <c r="I27" s="13"/>
      <c r="J27" s="13">
        <f t="shared" si="4"/>
        <v>78</v>
      </c>
      <c r="K27" s="16">
        <f t="shared" si="5"/>
        <v>0.009077855871820553</v>
      </c>
      <c r="M27" s="44"/>
    </row>
    <row r="28" spans="1:13" ht="12.75" customHeight="1">
      <c r="A28" s="12" t="s">
        <v>36</v>
      </c>
      <c r="B28" s="17">
        <v>0.878</v>
      </c>
      <c r="C28" s="14" t="s">
        <v>32</v>
      </c>
      <c r="D28" s="13">
        <f t="shared" si="6"/>
        <v>500</v>
      </c>
      <c r="E28" s="13">
        <f>(J28*0.036)</f>
        <v>15.803999999999998</v>
      </c>
      <c r="F28" s="13">
        <f>(J28*0.047)</f>
        <v>20.633</v>
      </c>
      <c r="G28" s="13">
        <f>(J28*0.07)</f>
        <v>30.730000000000004</v>
      </c>
      <c r="H28" s="15">
        <f t="shared" si="1"/>
        <v>67.167</v>
      </c>
      <c r="I28" s="13">
        <f>(J28*0.847)</f>
        <v>371.83299999999997</v>
      </c>
      <c r="J28" s="13">
        <f t="shared" si="4"/>
        <v>439</v>
      </c>
      <c r="K28" s="16">
        <f t="shared" si="5"/>
        <v>0.05109203497088747</v>
      </c>
      <c r="M28" s="44"/>
    </row>
    <row r="29" spans="1:13" ht="12.75" customHeight="1">
      <c r="A29" s="12" t="s">
        <v>37</v>
      </c>
      <c r="B29" s="17">
        <v>1.12</v>
      </c>
      <c r="C29" s="14" t="s">
        <v>32</v>
      </c>
      <c r="D29" s="13">
        <f t="shared" si="6"/>
        <v>500</v>
      </c>
      <c r="E29" s="13">
        <f>(J29*0.084)</f>
        <v>47.040000000000006</v>
      </c>
      <c r="F29" s="13">
        <f>(J29*0.089)</f>
        <v>49.839999999999996</v>
      </c>
      <c r="G29" s="13">
        <f>(J29*0.089)</f>
        <v>49.839999999999996</v>
      </c>
      <c r="H29" s="15">
        <f t="shared" si="1"/>
        <v>146.72</v>
      </c>
      <c r="I29" s="13">
        <f>(J29*0.738)</f>
        <v>413.28</v>
      </c>
      <c r="J29" s="13">
        <f t="shared" si="4"/>
        <v>560</v>
      </c>
      <c r="K29" s="16">
        <f t="shared" si="5"/>
        <v>0.06517434984896807</v>
      </c>
      <c r="M29" s="44"/>
    </row>
    <row r="30" spans="1:13" ht="12.75" customHeight="1">
      <c r="A30" s="12" t="s">
        <v>38</v>
      </c>
      <c r="B30" s="17">
        <v>0.258</v>
      </c>
      <c r="C30" s="14" t="s">
        <v>32</v>
      </c>
      <c r="D30" s="13">
        <f t="shared" si="6"/>
        <v>500</v>
      </c>
      <c r="E30" s="13">
        <f>(J30*0.046)</f>
        <v>5.934</v>
      </c>
      <c r="F30" s="13">
        <f>(J30*0.052)</f>
        <v>6.707999999999999</v>
      </c>
      <c r="G30" s="13">
        <f>(J30*0.059)</f>
        <v>7.611</v>
      </c>
      <c r="H30" s="15">
        <f t="shared" si="1"/>
        <v>20.253</v>
      </c>
      <c r="I30" s="13">
        <f>(J30*0.843)</f>
        <v>108.747</v>
      </c>
      <c r="J30" s="13">
        <f t="shared" si="4"/>
        <v>129</v>
      </c>
      <c r="K30" s="16">
        <f t="shared" si="5"/>
        <v>0.015013377018780145</v>
      </c>
      <c r="M30" s="44"/>
    </row>
    <row r="31" spans="1:13" ht="12.75" customHeight="1">
      <c r="A31" s="12" t="s">
        <v>39</v>
      </c>
      <c r="B31" s="17">
        <v>1.4077</v>
      </c>
      <c r="C31" s="14" t="s">
        <v>32</v>
      </c>
      <c r="D31" s="13">
        <f t="shared" si="6"/>
        <v>500</v>
      </c>
      <c r="E31" s="13">
        <f>(J31*0.116)</f>
        <v>81.6466</v>
      </c>
      <c r="F31" s="13">
        <f>(J31*0.116)</f>
        <v>81.6466</v>
      </c>
      <c r="G31" s="13">
        <f>(J31*0.116)</f>
        <v>81.6466</v>
      </c>
      <c r="H31" s="15">
        <f t="shared" si="1"/>
        <v>244.93980000000002</v>
      </c>
      <c r="I31" s="13">
        <f>(J31*0.652)</f>
        <v>458.91020000000003</v>
      </c>
      <c r="J31" s="13">
        <f t="shared" si="4"/>
        <v>703.85</v>
      </c>
      <c r="K31" s="16">
        <f t="shared" si="5"/>
        <v>0.08191601096642175</v>
      </c>
      <c r="M31" s="44"/>
    </row>
    <row r="32" spans="1:13" ht="12.75" customHeight="1">
      <c r="A32" s="12" t="s">
        <v>40</v>
      </c>
      <c r="B32" s="17">
        <v>0.188</v>
      </c>
      <c r="C32" s="14" t="s">
        <v>32</v>
      </c>
      <c r="D32" s="13">
        <f t="shared" si="6"/>
        <v>500</v>
      </c>
      <c r="E32" s="13"/>
      <c r="F32" s="13">
        <f>(D32*B32)</f>
        <v>94</v>
      </c>
      <c r="G32" s="13"/>
      <c r="H32" s="15">
        <f t="shared" si="1"/>
        <v>94</v>
      </c>
      <c r="I32" s="13"/>
      <c r="J32" s="13">
        <f t="shared" si="4"/>
        <v>94</v>
      </c>
      <c r="K32" s="16">
        <f t="shared" si="5"/>
        <v>0.01093998015321964</v>
      </c>
      <c r="L32" s="50"/>
      <c r="M32" s="44"/>
    </row>
    <row r="33" spans="1:13" ht="12.75" customHeight="1" thickBot="1">
      <c r="A33" s="21" t="s">
        <v>41</v>
      </c>
      <c r="B33" s="22">
        <v>2.126</v>
      </c>
      <c r="C33" s="23" t="s">
        <v>32</v>
      </c>
      <c r="D33" s="24">
        <f>+D32</f>
        <v>500</v>
      </c>
      <c r="E33" s="24"/>
      <c r="F33" s="24"/>
      <c r="G33" s="24">
        <f>(J33*0.06)</f>
        <v>63.78</v>
      </c>
      <c r="H33" s="25">
        <f t="shared" si="1"/>
        <v>63.78</v>
      </c>
      <c r="I33" s="24">
        <f>(J33*0.94)</f>
        <v>999.2199999999999</v>
      </c>
      <c r="J33" s="24">
        <f t="shared" si="4"/>
        <v>1063</v>
      </c>
      <c r="K33" s="26">
        <f t="shared" si="5"/>
        <v>0.1237148819454519</v>
      </c>
      <c r="L33" s="50"/>
      <c r="M33" s="44"/>
    </row>
    <row r="34" spans="1:12" ht="13.5">
      <c r="A34" s="27" t="s">
        <v>42</v>
      </c>
      <c r="B34" s="28"/>
      <c r="C34" s="28"/>
      <c r="D34" s="28"/>
      <c r="E34" s="29">
        <f aca="true" t="shared" si="7" ref="E34:J34">E8+E18+E23</f>
        <v>1672.4522574999999</v>
      </c>
      <c r="F34" s="29">
        <f t="shared" si="7"/>
        <v>798.8895235</v>
      </c>
      <c r="G34" s="29">
        <f t="shared" si="7"/>
        <v>422.1857755</v>
      </c>
      <c r="H34" s="29">
        <f t="shared" si="7"/>
        <v>2893.5275565</v>
      </c>
      <c r="I34" s="29">
        <f t="shared" si="7"/>
        <v>4906.3429435</v>
      </c>
      <c r="J34" s="29">
        <f t="shared" si="7"/>
        <v>7799.870500000001</v>
      </c>
      <c r="K34" s="47">
        <f>+K8+K18+K23</f>
        <v>0.9077705156136526</v>
      </c>
      <c r="L34" s="50"/>
    </row>
    <row r="35" spans="1:12" ht="12.75" customHeight="1">
      <c r="A35" s="30" t="s">
        <v>43</v>
      </c>
      <c r="B35" s="28"/>
      <c r="C35" s="28"/>
      <c r="D35" s="28"/>
      <c r="E35" s="31">
        <f aca="true" t="shared" si="8" ref="E35:J35">(E34*0.02)</f>
        <v>33.449045149999996</v>
      </c>
      <c r="F35" s="31">
        <f t="shared" si="8"/>
        <v>15.97779047</v>
      </c>
      <c r="G35" s="31">
        <f t="shared" si="8"/>
        <v>8.44371551</v>
      </c>
      <c r="H35" s="29">
        <f t="shared" si="8"/>
        <v>57.87055113</v>
      </c>
      <c r="I35" s="31">
        <f t="shared" si="8"/>
        <v>98.12685886999999</v>
      </c>
      <c r="J35" s="31">
        <f t="shared" si="8"/>
        <v>155.99741000000003</v>
      </c>
      <c r="K35" s="48">
        <f>J35/J$37</f>
        <v>0.01815541031227306</v>
      </c>
      <c r="L35" s="50"/>
    </row>
    <row r="36" spans="1:12" ht="12.75" customHeight="1">
      <c r="A36" s="30" t="s">
        <v>55</v>
      </c>
      <c r="B36" s="28"/>
      <c r="C36" s="28"/>
      <c r="D36" s="28"/>
      <c r="E36" s="31">
        <f aca="true" t="shared" si="9" ref="E36:J36">SUM(E34:E35)*0.08</f>
        <v>136.472104212</v>
      </c>
      <c r="F36" s="31">
        <f t="shared" si="9"/>
        <v>65.1893851176</v>
      </c>
      <c r="G36" s="31">
        <f t="shared" si="9"/>
        <v>34.4503592808</v>
      </c>
      <c r="H36" s="29">
        <f t="shared" si="9"/>
        <v>236.11184861040002</v>
      </c>
      <c r="I36" s="31">
        <f t="shared" si="9"/>
        <v>400.3575841896</v>
      </c>
      <c r="J36" s="31">
        <f t="shared" si="9"/>
        <v>636.4694328</v>
      </c>
      <c r="K36" s="48">
        <f>J36/J$37</f>
        <v>0.07407407407407407</v>
      </c>
      <c r="L36" s="51">
        <f>+J36+J35</f>
        <v>792.4668428000001</v>
      </c>
    </row>
    <row r="37" spans="1:20" s="3" customFormat="1" ht="17.25" customHeight="1" thickBot="1">
      <c r="A37" s="59" t="s">
        <v>44</v>
      </c>
      <c r="B37" s="60"/>
      <c r="C37" s="60"/>
      <c r="D37" s="60"/>
      <c r="E37" s="61">
        <f aca="true" t="shared" si="10" ref="E37:K37">SUM(E34:E36)</f>
        <v>1842.373406862</v>
      </c>
      <c r="F37" s="61">
        <f t="shared" si="10"/>
        <v>880.0566990875999</v>
      </c>
      <c r="G37" s="61">
        <f t="shared" si="10"/>
        <v>465.0798502908</v>
      </c>
      <c r="H37" s="61">
        <f t="shared" si="10"/>
        <v>3187.5099562404002</v>
      </c>
      <c r="I37" s="61">
        <f t="shared" si="10"/>
        <v>5404.8273865596</v>
      </c>
      <c r="J37" s="61">
        <f t="shared" si="10"/>
        <v>8592.337342800001</v>
      </c>
      <c r="K37" s="62">
        <f t="shared" si="10"/>
        <v>0.9999999999999998</v>
      </c>
      <c r="L37" s="52"/>
      <c r="M37" s="46"/>
      <c r="N37" s="46"/>
      <c r="O37" s="46"/>
      <c r="P37" s="46"/>
      <c r="Q37" s="46"/>
      <c r="R37" s="46"/>
      <c r="S37" s="46"/>
      <c r="T37" s="46"/>
    </row>
    <row r="38" spans="1:11" ht="13.5">
      <c r="A38" s="33" t="s">
        <v>50</v>
      </c>
      <c r="B38" s="33"/>
      <c r="C38" s="33"/>
      <c r="D38" s="33"/>
      <c r="E38" s="33"/>
      <c r="F38" s="33"/>
      <c r="G38" s="33"/>
      <c r="H38" s="34"/>
      <c r="I38" s="33"/>
      <c r="J38" s="33"/>
      <c r="K38" s="33"/>
    </row>
    <row r="39" spans="1:11" ht="30" customHeight="1">
      <c r="A39" s="72" t="s">
        <v>57</v>
      </c>
      <c r="B39" s="72"/>
      <c r="C39" s="72"/>
      <c r="D39" s="72"/>
      <c r="E39" s="72"/>
      <c r="F39" s="72"/>
      <c r="G39" s="72"/>
      <c r="H39" s="72"/>
      <c r="I39" s="72"/>
      <c r="J39" s="72"/>
      <c r="K39" s="33"/>
    </row>
    <row r="40" spans="1:11" ht="15.75" customHeight="1">
      <c r="A40" s="69" t="s">
        <v>51</v>
      </c>
      <c r="B40" s="69"/>
      <c r="C40" s="69"/>
      <c r="D40" s="69"/>
      <c r="E40" s="69"/>
      <c r="F40" s="69"/>
      <c r="G40" s="69"/>
      <c r="H40" s="69"/>
      <c r="I40" s="69"/>
      <c r="J40" s="69"/>
      <c r="K40" s="33"/>
    </row>
    <row r="41" spans="1:11" ht="13.5" customHeight="1">
      <c r="A41" s="70" t="s">
        <v>47</v>
      </c>
      <c r="B41" s="70"/>
      <c r="C41" s="70"/>
      <c r="D41" s="70"/>
      <c r="E41" s="70"/>
      <c r="F41" s="70"/>
      <c r="G41" s="70"/>
      <c r="H41" s="70"/>
      <c r="I41" s="70"/>
      <c r="J41" s="70"/>
      <c r="K41" s="33"/>
    </row>
    <row r="42" spans="1:11" ht="11.25" customHeight="1">
      <c r="A42" s="33" t="s">
        <v>49</v>
      </c>
      <c r="B42" s="33"/>
      <c r="C42" s="35"/>
      <c r="D42" s="36"/>
      <c r="E42" s="33"/>
      <c r="F42" s="33"/>
      <c r="G42" s="35"/>
      <c r="H42" s="36"/>
      <c r="I42" s="37"/>
      <c r="J42" s="38">
        <v>455</v>
      </c>
      <c r="K42" s="33"/>
    </row>
    <row r="43" spans="1:14" ht="15" customHeight="1">
      <c r="A43" s="71" t="s">
        <v>48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N43" s="46"/>
    </row>
    <row r="44" spans="1:11" ht="13.5" customHeight="1">
      <c r="A44" s="33" t="s">
        <v>53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" customHeight="1">
      <c r="A45" s="33" t="s">
        <v>52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3.5">
      <c r="A46" s="33"/>
      <c r="B46" s="33"/>
      <c r="C46" s="33"/>
      <c r="D46" s="33"/>
      <c r="E46" s="33"/>
      <c r="F46" s="33"/>
      <c r="G46" s="33"/>
      <c r="H46" s="34"/>
      <c r="I46" s="33"/>
      <c r="J46" s="33"/>
      <c r="K46" s="33"/>
    </row>
    <row r="47" spans="1:11" ht="13.5">
      <c r="A47" s="64" t="s">
        <v>54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s="39" customFormat="1" ht="13.5">
      <c r="A48" s="33"/>
      <c r="B48" s="33"/>
      <c r="C48" s="33"/>
      <c r="D48" s="33"/>
      <c r="E48" s="33"/>
      <c r="F48" s="33"/>
      <c r="G48" s="33"/>
      <c r="H48" s="34"/>
      <c r="I48" s="33"/>
      <c r="J48" s="33"/>
      <c r="K48" s="33"/>
    </row>
    <row r="49" spans="1:11" s="39" customFormat="1" ht="13.5">
      <c r="A49" s="33"/>
      <c r="B49" s="40"/>
      <c r="C49" s="33"/>
      <c r="D49" s="41"/>
      <c r="E49" s="41"/>
      <c r="F49" s="41"/>
      <c r="G49" s="41"/>
      <c r="H49" s="42"/>
      <c r="I49" s="41"/>
      <c r="J49" s="41"/>
      <c r="K49" s="33"/>
    </row>
    <row r="50" spans="1:11" s="39" customFormat="1" ht="13.5">
      <c r="A50" s="33"/>
      <c r="B50" s="40"/>
      <c r="C50" s="33"/>
      <c r="D50" s="41"/>
      <c r="E50" s="41"/>
      <c r="F50" s="41"/>
      <c r="G50" s="41"/>
      <c r="H50" s="42"/>
      <c r="I50" s="41"/>
      <c r="J50" s="41"/>
      <c r="K50" s="33"/>
    </row>
    <row r="51" spans="1:11" s="39" customFormat="1" ht="13.5">
      <c r="A51" s="33"/>
      <c r="B51" s="33"/>
      <c r="C51" s="33"/>
      <c r="D51" s="33"/>
      <c r="E51" s="33"/>
      <c r="F51" s="33"/>
      <c r="G51" s="33"/>
      <c r="H51" s="34"/>
      <c r="I51" s="33"/>
      <c r="J51" s="33"/>
      <c r="K51" s="33"/>
    </row>
    <row r="52" spans="1:11" s="39" customFormat="1" ht="13.5">
      <c r="A52" s="33"/>
      <c r="B52" s="33"/>
      <c r="C52" s="33"/>
      <c r="D52" s="33"/>
      <c r="E52" s="33"/>
      <c r="F52" s="33"/>
      <c r="G52" s="33"/>
      <c r="H52" s="34"/>
      <c r="I52" s="33"/>
      <c r="J52" s="33"/>
      <c r="K52" s="33"/>
    </row>
    <row r="53" spans="1:11" s="39" customFormat="1" ht="13.5">
      <c r="A53" s="33"/>
      <c r="B53" s="33"/>
      <c r="C53" s="33"/>
      <c r="D53" s="33"/>
      <c r="E53" s="33"/>
      <c r="F53" s="33"/>
      <c r="G53" s="33"/>
      <c r="H53" s="34"/>
      <c r="I53" s="33"/>
      <c r="J53" s="33"/>
      <c r="K53" s="33"/>
    </row>
    <row r="54" spans="1:11" s="39" customFormat="1" ht="13.5">
      <c r="A54" s="33"/>
      <c r="B54" s="33"/>
      <c r="C54" s="33"/>
      <c r="D54" s="33"/>
      <c r="E54" s="33"/>
      <c r="F54" s="33"/>
      <c r="G54" s="33"/>
      <c r="H54" s="34"/>
      <c r="I54" s="33"/>
      <c r="J54" s="33"/>
      <c r="K54" s="33"/>
    </row>
    <row r="55" spans="1:11" s="39" customFormat="1" ht="13.5">
      <c r="A55" s="33"/>
      <c r="B55" s="33"/>
      <c r="C55" s="33"/>
      <c r="D55" s="33"/>
      <c r="E55" s="33"/>
      <c r="F55" s="33"/>
      <c r="G55" s="33"/>
      <c r="H55" s="34"/>
      <c r="I55" s="33"/>
      <c r="J55" s="33"/>
      <c r="K55" s="33"/>
    </row>
    <row r="56" spans="1:11" s="39" customFormat="1" ht="13.5">
      <c r="A56" s="33"/>
      <c r="B56" s="33"/>
      <c r="C56" s="33"/>
      <c r="D56" s="33"/>
      <c r="E56" s="33"/>
      <c r="F56" s="33"/>
      <c r="G56" s="33"/>
      <c r="H56" s="34"/>
      <c r="I56" s="33"/>
      <c r="J56" s="33"/>
      <c r="K56" s="33"/>
    </row>
    <row r="57" spans="1:11" s="39" customFormat="1" ht="13.5">
      <c r="A57" s="33"/>
      <c r="B57" s="33"/>
      <c r="C57" s="33"/>
      <c r="D57" s="33"/>
      <c r="E57" s="33"/>
      <c r="F57" s="33"/>
      <c r="G57" s="33"/>
      <c r="H57" s="34"/>
      <c r="I57" s="33"/>
      <c r="J57" s="33"/>
      <c r="K57" s="33"/>
    </row>
    <row r="58" spans="1:11" s="39" customFormat="1" ht="13.5">
      <c r="A58" s="33"/>
      <c r="B58" s="33"/>
      <c r="C58" s="33"/>
      <c r="D58" s="33"/>
      <c r="E58" s="33"/>
      <c r="F58" s="33"/>
      <c r="G58" s="33"/>
      <c r="H58" s="34"/>
      <c r="I58" s="33"/>
      <c r="J58" s="33"/>
      <c r="K58" s="33"/>
    </row>
    <row r="59" spans="1:11" s="39" customFormat="1" ht="13.5">
      <c r="A59" s="33"/>
      <c r="B59" s="33"/>
      <c r="C59" s="33"/>
      <c r="D59" s="33"/>
      <c r="E59" s="33"/>
      <c r="F59" s="33"/>
      <c r="G59" s="33"/>
      <c r="H59" s="34"/>
      <c r="I59" s="33"/>
      <c r="J59" s="33"/>
      <c r="K59" s="33"/>
    </row>
    <row r="60" spans="1:11" s="39" customFormat="1" ht="13.5">
      <c r="A60" s="33"/>
      <c r="B60" s="33"/>
      <c r="C60" s="33"/>
      <c r="D60" s="33"/>
      <c r="E60" s="33"/>
      <c r="F60" s="33"/>
      <c r="G60" s="33"/>
      <c r="H60" s="34"/>
      <c r="I60" s="33"/>
      <c r="J60" s="33"/>
      <c r="K60" s="33"/>
    </row>
    <row r="61" spans="1:11" s="39" customFormat="1" ht="13.5">
      <c r="A61" s="33"/>
      <c r="B61" s="33"/>
      <c r="C61" s="33"/>
      <c r="D61" s="33"/>
      <c r="E61" s="33"/>
      <c r="F61" s="33"/>
      <c r="G61" s="33"/>
      <c r="H61" s="34"/>
      <c r="I61" s="33"/>
      <c r="J61" s="33"/>
      <c r="K61" s="33"/>
    </row>
    <row r="62" spans="1:11" s="39" customFormat="1" ht="13.5">
      <c r="A62" s="33"/>
      <c r="B62" s="33"/>
      <c r="C62" s="33"/>
      <c r="D62" s="33"/>
      <c r="E62" s="33"/>
      <c r="F62" s="33"/>
      <c r="G62" s="33"/>
      <c r="H62" s="34"/>
      <c r="I62" s="33"/>
      <c r="J62" s="33"/>
      <c r="K62" s="33"/>
    </row>
    <row r="63" spans="1:11" s="39" customFormat="1" ht="13.5">
      <c r="A63" s="33"/>
      <c r="B63" s="33"/>
      <c r="C63" s="33"/>
      <c r="D63" s="33"/>
      <c r="E63" s="33"/>
      <c r="F63" s="33"/>
      <c r="G63" s="33"/>
      <c r="H63" s="34"/>
      <c r="I63" s="33"/>
      <c r="J63" s="33"/>
      <c r="K63" s="33"/>
    </row>
    <row r="64" spans="1:11" s="39" customFormat="1" ht="13.5">
      <c r="A64" s="33"/>
      <c r="B64" s="33"/>
      <c r="C64" s="33"/>
      <c r="D64" s="33"/>
      <c r="E64" s="33"/>
      <c r="F64" s="33"/>
      <c r="G64" s="33"/>
      <c r="H64" s="34"/>
      <c r="I64" s="33"/>
      <c r="J64" s="33"/>
      <c r="K64" s="33"/>
    </row>
    <row r="65" spans="1:11" s="39" customFormat="1" ht="13.5">
      <c r="A65" s="33"/>
      <c r="B65" s="33"/>
      <c r="C65" s="33"/>
      <c r="D65" s="33"/>
      <c r="E65" s="33"/>
      <c r="F65" s="33"/>
      <c r="G65" s="33"/>
      <c r="H65" s="34"/>
      <c r="I65" s="33"/>
      <c r="J65" s="33"/>
      <c r="K65" s="33"/>
    </row>
    <row r="66" spans="1:11" s="39" customFormat="1" ht="13.5">
      <c r="A66" s="33"/>
      <c r="B66" s="33"/>
      <c r="C66" s="33"/>
      <c r="D66" s="33"/>
      <c r="E66" s="33"/>
      <c r="F66" s="33"/>
      <c r="G66" s="33"/>
      <c r="H66" s="34"/>
      <c r="I66" s="33"/>
      <c r="J66" s="33"/>
      <c r="K66" s="33"/>
    </row>
    <row r="67" spans="1:11" s="39" customFormat="1" ht="13.5">
      <c r="A67" s="33"/>
      <c r="B67" s="33"/>
      <c r="C67" s="33"/>
      <c r="D67" s="33"/>
      <c r="E67" s="33"/>
      <c r="F67" s="33"/>
      <c r="G67" s="33"/>
      <c r="H67" s="34"/>
      <c r="I67" s="33"/>
      <c r="J67" s="33"/>
      <c r="K67" s="33"/>
    </row>
    <row r="68" spans="1:11" s="39" customFormat="1" ht="13.5">
      <c r="A68" s="33"/>
      <c r="B68" s="33"/>
      <c r="C68" s="33"/>
      <c r="D68" s="33"/>
      <c r="E68" s="33"/>
      <c r="F68" s="33"/>
      <c r="G68" s="33"/>
      <c r="H68" s="34"/>
      <c r="I68" s="33"/>
      <c r="J68" s="33"/>
      <c r="K68" s="33"/>
    </row>
    <row r="69" spans="1:11" s="39" customFormat="1" ht="13.5">
      <c r="A69" s="33"/>
      <c r="B69" s="33"/>
      <c r="C69" s="33"/>
      <c r="D69" s="33"/>
      <c r="E69" s="33"/>
      <c r="F69" s="33"/>
      <c r="G69" s="33"/>
      <c r="H69" s="34"/>
      <c r="I69" s="33"/>
      <c r="J69" s="33"/>
      <c r="K69" s="33"/>
    </row>
    <row r="70" spans="1:11" s="39" customFormat="1" ht="13.5">
      <c r="A70" s="33"/>
      <c r="B70" s="33"/>
      <c r="C70" s="33"/>
      <c r="D70" s="33"/>
      <c r="E70" s="33"/>
      <c r="F70" s="33"/>
      <c r="G70" s="33"/>
      <c r="H70" s="34"/>
      <c r="I70" s="33"/>
      <c r="J70" s="33"/>
      <c r="K70" s="33"/>
    </row>
  </sheetData>
  <sheetProtection/>
  <mergeCells count="9">
    <mergeCell ref="A1:K1"/>
    <mergeCell ref="A2:K2"/>
    <mergeCell ref="A47:K47"/>
    <mergeCell ref="K5:K6"/>
    <mergeCell ref="H5:H6"/>
    <mergeCell ref="A40:J40"/>
    <mergeCell ref="A41:J41"/>
    <mergeCell ref="A43:K43"/>
    <mergeCell ref="A39:J39"/>
  </mergeCells>
  <printOptions/>
  <pageMargins left="0.91" right="0.2755905511811024" top="0.7086614173228347" bottom="0.4330708661417323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Karisovic</cp:lastModifiedBy>
  <cp:lastPrinted>2017-04-25T15:58:34Z</cp:lastPrinted>
  <dcterms:created xsi:type="dcterms:W3CDTF">2007-12-07T15:16:50Z</dcterms:created>
  <dcterms:modified xsi:type="dcterms:W3CDTF">2019-07-19T16:16:42Z</dcterms:modified>
  <cp:category/>
  <cp:version/>
  <cp:contentType/>
  <cp:contentStatus/>
</cp:coreProperties>
</file>