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<sst xmlns="http://schemas.openxmlformats.org/spreadsheetml/2006/main" count="69" uniqueCount="56">
  <si>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 xml:space="preserve">  ESTIMADO DE COSTO DE PRODUCCION PARA LA EXPLOTACION DE UNA TAREA  DE CAJUIL</t>
  </si>
  <si>
    <t>Actividad</t>
  </si>
  <si>
    <t>Unidad</t>
  </si>
  <si>
    <t>1- INSUMOS</t>
  </si>
  <si>
    <t xml:space="preserve">   .1 Compra de Plántulas de Siembra</t>
  </si>
  <si>
    <t>Planta</t>
  </si>
  <si>
    <t xml:space="preserve">   .2 Compra para la Resiembra</t>
  </si>
  <si>
    <t xml:space="preserve">   .3 Compra de Fertilizante </t>
  </si>
  <si>
    <t xml:space="preserve">      (15-15-15)</t>
  </si>
  <si>
    <t>Quintal</t>
  </si>
  <si>
    <t xml:space="preserve">   .4 Compra de Insecticida </t>
  </si>
  <si>
    <t xml:space="preserve">      (Nuvacrón 60)</t>
  </si>
  <si>
    <t>Litro</t>
  </si>
  <si>
    <t xml:space="preserve">   .5 Compra de Fungicida</t>
  </si>
  <si>
    <t xml:space="preserve">      (Dithane M-45)</t>
  </si>
  <si>
    <t>Kilo</t>
  </si>
  <si>
    <t>2-  PREPARACION DEL TERRENO</t>
  </si>
  <si>
    <t xml:space="preserve">   .1 Corte (Mecanizado)</t>
  </si>
  <si>
    <t>Tarea</t>
  </si>
  <si>
    <t xml:space="preserve">   .2 Cruce (Mecanizado)</t>
  </si>
  <si>
    <t xml:space="preserve">   .3 Rastra (Mecanicado)</t>
  </si>
  <si>
    <t>3-  MANO DE OBRA</t>
  </si>
  <si>
    <t xml:space="preserve">   .1  Marcado y Alineación</t>
  </si>
  <si>
    <t>Hom-Día</t>
  </si>
  <si>
    <t xml:space="preserve">   .2  Transporte de Planta</t>
  </si>
  <si>
    <t xml:space="preserve">   .3  Construcción de Hoyos Siembra</t>
  </si>
  <si>
    <t xml:space="preserve">   .4  Construccion de Hoyos Resiembra</t>
  </si>
  <si>
    <t xml:space="preserve">   .5  Transporte de Fertilizantes</t>
  </si>
  <si>
    <t xml:space="preserve">   .6  Aplicación de Fertilizantes</t>
  </si>
  <si>
    <t xml:space="preserve">   .7  Aplicación de Pesticidas</t>
  </si>
  <si>
    <t xml:space="preserve">   .8  Desyerbo</t>
  </si>
  <si>
    <t xml:space="preserve">   .9  Deschuponado y Poda</t>
  </si>
  <si>
    <t xml:space="preserve">   .10  Aporque</t>
  </si>
  <si>
    <t xml:space="preserve">   .11 Recolección y Empaque</t>
  </si>
  <si>
    <t xml:space="preserve">   SUBTOTAL</t>
  </si>
  <si>
    <t xml:space="preserve">   GASTOS ADMINISTRATIVOS (2%)</t>
  </si>
  <si>
    <t xml:space="preserve">   TOTAL GENERAL</t>
  </si>
  <si>
    <t>Cant.</t>
  </si>
  <si>
    <t>Participación (%) por Actividad</t>
  </si>
  <si>
    <t>Total Costo Fomento</t>
  </si>
  <si>
    <t>Nota:  COSTO FOMENTO: desde el año 1 al 3   Y  COSTO MANTENIMIENTO:  del cuarto año en adelante.</t>
  </si>
  <si>
    <t>1er, Año Costo</t>
  </si>
  <si>
    <t xml:space="preserve"> 4 -10 Años Costo</t>
  </si>
  <si>
    <t>Costo Total</t>
  </si>
  <si>
    <t>Las unidades de médida expresadas en los insumos corresponde a la forma en la que los productores  la obtienen de los puntos de venta o agroquímicas.</t>
  </si>
  <si>
    <t>Fuente:  Ministerio de Agricultura, Departamento de Economía Agropecuaria,</t>
  </si>
  <si>
    <t>Una Hectárea equivale a 15.9 tareas.</t>
  </si>
  <si>
    <t>Notas:</t>
  </si>
  <si>
    <t>El uso de una "MARCA DE FABRICA" no constituye una recomendación del producto, sino lo que informaron los productores.</t>
  </si>
  <si>
    <t xml:space="preserve">               Estimados por la División de Estudios Económicos.-</t>
  </si>
  <si>
    <t>Valor Unitario</t>
  </si>
  <si>
    <t>2do Año Costo</t>
  </si>
  <si>
    <t>3er Año Costo</t>
  </si>
  <si>
    <t xml:space="preserve">   GASTOS INTERESES 8.0% ANUAL (12 meses 8.0%)</t>
  </si>
  <si>
    <t xml:space="preserve">  REPUBLICA DOMINICANA,  2019.-  (En RD$).-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</si>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</sst>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0.000"/>
    <numFmt numFmtId="190" formatCode="0.0000"/>
    <numFmt numFmtId="191" formatCode="#,##0.0\ _€;\-#,##0.0\ _€"/>
    <numFmt numFmtId="192" formatCode="_(* #,##0.0_);_(* \(#,##0.0\);_(* &quot;-&quot;??_);_(@_)"/>
    <numFmt numFmtId="193" formatCode="#,##0.00_ ;\-#,##0.00\ "/>
    <numFmt numFmtId="194" formatCode="0_)"/>
  </numFmts>
  <fonts count="50">
    <font>
      <sz val="10"/>
      <name val="Arial"/>
      <family val="0"/>
    </font>
    <font>
      <sz val="10"/>
      <name val="Baskerville Old Face"/>
      <family val="1"/>
    </font>
    <font>
      <sz val="9"/>
      <name val="Baskerville Old Face"/>
      <family val="1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Baskerville Old Face"/>
      <family val="1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Baskerville Old Face"/>
      <family val="1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7" fontId="1" fillId="0" borderId="0" xfId="0" applyNumberFormat="1" applyFont="1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/>
    </xf>
    <xf numFmtId="7" fontId="4" fillId="33" borderId="0" xfId="0" applyNumberFormat="1" applyFont="1" applyFill="1" applyAlignment="1" applyProtection="1">
      <alignment/>
      <protection/>
    </xf>
    <xf numFmtId="10" fontId="4" fillId="33" borderId="0" xfId="0" applyNumberFormat="1" applyFont="1" applyFill="1" applyAlignment="1" applyProtection="1">
      <alignment/>
      <protection/>
    </xf>
    <xf numFmtId="194" fontId="4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/>
    </xf>
    <xf numFmtId="43" fontId="5" fillId="33" borderId="11" xfId="47" applyFont="1" applyFill="1" applyBorder="1" applyAlignment="1">
      <alignment/>
    </xf>
    <xf numFmtId="43" fontId="5" fillId="33" borderId="12" xfId="47" applyFont="1" applyFill="1" applyBorder="1" applyAlignment="1">
      <alignment/>
    </xf>
    <xf numFmtId="0" fontId="4" fillId="33" borderId="13" xfId="0" applyFont="1" applyFill="1" applyBorder="1" applyAlignment="1" applyProtection="1">
      <alignment horizontal="left"/>
      <protection/>
    </xf>
    <xf numFmtId="187" fontId="4" fillId="33" borderId="14" xfId="0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/>
    </xf>
    <xf numFmtId="187" fontId="5" fillId="33" borderId="14" xfId="0" applyNumberFormat="1" applyFont="1" applyFill="1" applyBorder="1" applyAlignment="1">
      <alignment/>
    </xf>
    <xf numFmtId="9" fontId="4" fillId="33" borderId="15" xfId="53" applyFont="1" applyFill="1" applyBorder="1" applyAlignment="1">
      <alignment horizontal="center"/>
    </xf>
    <xf numFmtId="190" fontId="4" fillId="33" borderId="14" xfId="0" applyNumberFormat="1" applyFont="1" applyFill="1" applyBorder="1" applyAlignment="1" applyProtection="1">
      <alignment/>
      <protection/>
    </xf>
    <xf numFmtId="191" fontId="46" fillId="33" borderId="14" xfId="0" applyNumberFormat="1" applyFont="1" applyFill="1" applyBorder="1" applyAlignment="1" applyProtection="1">
      <alignment/>
      <protection/>
    </xf>
    <xf numFmtId="192" fontId="4" fillId="33" borderId="14" xfId="47" applyNumberFormat="1" applyFont="1" applyFill="1" applyBorder="1" applyAlignment="1" applyProtection="1">
      <alignment/>
      <protection/>
    </xf>
    <xf numFmtId="43" fontId="4" fillId="33" borderId="14" xfId="47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5" fillId="33" borderId="13" xfId="0" applyFont="1" applyFill="1" applyBorder="1" applyAlignment="1" applyProtection="1">
      <alignment horizontal="left"/>
      <protection/>
    </xf>
    <xf numFmtId="43" fontId="5" fillId="33" borderId="14" xfId="47" applyFont="1" applyFill="1" applyBorder="1" applyAlignment="1">
      <alignment/>
    </xf>
    <xf numFmtId="43" fontId="5" fillId="33" borderId="16" xfId="47" applyFont="1" applyFill="1" applyBorder="1" applyAlignment="1">
      <alignment/>
    </xf>
    <xf numFmtId="188" fontId="4" fillId="33" borderId="14" xfId="0" applyNumberFormat="1" applyFont="1" applyFill="1" applyBorder="1" applyAlignment="1" applyProtection="1">
      <alignment/>
      <protection/>
    </xf>
    <xf numFmtId="187" fontId="46" fillId="33" borderId="14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188" fontId="4" fillId="33" borderId="18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187" fontId="46" fillId="33" borderId="18" xfId="0" applyNumberFormat="1" applyFont="1" applyFill="1" applyBorder="1" applyAlignment="1" applyProtection="1">
      <alignment/>
      <protection/>
    </xf>
    <xf numFmtId="187" fontId="4" fillId="33" borderId="18" xfId="0" applyNumberFormat="1" applyFont="1" applyFill="1" applyBorder="1" applyAlignment="1" applyProtection="1">
      <alignment/>
      <protection/>
    </xf>
    <xf numFmtId="187" fontId="5" fillId="33" borderId="18" xfId="0" applyNumberFormat="1" applyFont="1" applyFill="1" applyBorder="1" applyAlignment="1">
      <alignment/>
    </xf>
    <xf numFmtId="9" fontId="4" fillId="33" borderId="19" xfId="53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>
      <alignment/>
    </xf>
    <xf numFmtId="0" fontId="47" fillId="33" borderId="0" xfId="0" applyFont="1" applyFill="1" applyBorder="1" applyAlignment="1" applyProtection="1">
      <alignment horizontal="center"/>
      <protection/>
    </xf>
    <xf numFmtId="39" fontId="5" fillId="33" borderId="23" xfId="0" applyNumberFormat="1" applyFont="1" applyFill="1" applyBorder="1" applyAlignment="1" applyProtection="1">
      <alignment/>
      <protection/>
    </xf>
    <xf numFmtId="39" fontId="4" fillId="33" borderId="24" xfId="0" applyNumberFormat="1" applyFont="1" applyFill="1" applyBorder="1" applyAlignment="1" applyProtection="1">
      <alignment/>
      <protection/>
    </xf>
    <xf numFmtId="39" fontId="4" fillId="33" borderId="25" xfId="0" applyNumberFormat="1" applyFont="1" applyFill="1" applyBorder="1" applyAlignment="1" applyProtection="1">
      <alignment/>
      <protection/>
    </xf>
    <xf numFmtId="39" fontId="5" fillId="33" borderId="11" xfId="0" applyNumberFormat="1" applyFont="1" applyFill="1" applyBorder="1" applyAlignment="1" applyProtection="1">
      <alignment/>
      <protection/>
    </xf>
    <xf numFmtId="39" fontId="4" fillId="33" borderId="14" xfId="0" applyNumberFormat="1" applyFont="1" applyFill="1" applyBorder="1" applyAlignment="1" applyProtection="1">
      <alignment/>
      <protection/>
    </xf>
    <xf numFmtId="39" fontId="4" fillId="33" borderId="18" xfId="0" applyNumberFormat="1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>
      <alignment/>
    </xf>
    <xf numFmtId="9" fontId="4" fillId="33" borderId="12" xfId="53" applyFont="1" applyFill="1" applyBorder="1" applyAlignment="1">
      <alignment horizontal="center"/>
    </xf>
    <xf numFmtId="9" fontId="4" fillId="33" borderId="16" xfId="53" applyFont="1" applyFill="1" applyBorder="1" applyAlignment="1" applyProtection="1">
      <alignment horizontal="center"/>
      <protection/>
    </xf>
    <xf numFmtId="9" fontId="4" fillId="33" borderId="28" xfId="53" applyFont="1" applyFill="1" applyBorder="1" applyAlignment="1" applyProtection="1">
      <alignment horizontal="center"/>
      <protection/>
    </xf>
    <xf numFmtId="39" fontId="48" fillId="0" borderId="0" xfId="0" applyNumberFormat="1" applyFont="1" applyAlignment="1">
      <alignment/>
    </xf>
    <xf numFmtId="0" fontId="49" fillId="34" borderId="0" xfId="0" applyFont="1" applyFill="1" applyBorder="1" applyAlignment="1" applyProtection="1">
      <alignment horizontal="center"/>
      <protection/>
    </xf>
    <xf numFmtId="0" fontId="49" fillId="34" borderId="10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49" fillId="34" borderId="13" xfId="0" applyFont="1" applyFill="1" applyBorder="1" applyAlignment="1" applyProtection="1">
      <alignment horizontal="left"/>
      <protection/>
    </xf>
    <xf numFmtId="0" fontId="49" fillId="34" borderId="21" xfId="0" applyFont="1" applyFill="1" applyBorder="1" applyAlignment="1" applyProtection="1">
      <alignment horizontal="left"/>
      <protection/>
    </xf>
    <xf numFmtId="0" fontId="49" fillId="34" borderId="22" xfId="0" applyFont="1" applyFill="1" applyBorder="1" applyAlignment="1">
      <alignment/>
    </xf>
    <xf numFmtId="39" fontId="49" fillId="34" borderId="18" xfId="0" applyNumberFormat="1" applyFont="1" applyFill="1" applyBorder="1" applyAlignment="1" applyProtection="1">
      <alignment/>
      <protection/>
    </xf>
    <xf numFmtId="39" fontId="49" fillId="34" borderId="25" xfId="0" applyNumberFormat="1" applyFont="1" applyFill="1" applyBorder="1" applyAlignment="1" applyProtection="1">
      <alignment/>
      <protection/>
    </xf>
    <xf numFmtId="9" fontId="49" fillId="34" borderId="28" xfId="53" applyFont="1" applyFill="1" applyBorder="1" applyAlignment="1" applyProtection="1">
      <alignment horizontal="center"/>
      <protection/>
    </xf>
    <xf numFmtId="0" fontId="49" fillId="34" borderId="11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8" xfId="0" applyFont="1" applyFill="1" applyBorder="1" applyAlignment="1" applyProtection="1">
      <alignment horizontal="center" vertical="center" wrapText="1"/>
      <protection/>
    </xf>
    <xf numFmtId="0" fontId="49" fillId="34" borderId="11" xfId="0" applyFont="1" applyFill="1" applyBorder="1" applyAlignment="1" applyProtection="1">
      <alignment horizontal="center" vertical="center"/>
      <protection/>
    </xf>
    <xf numFmtId="0" fontId="49" fillId="34" borderId="14" xfId="0" applyFont="1" applyFill="1" applyBorder="1" applyAlignment="1" applyProtection="1">
      <alignment horizontal="center" vertical="center"/>
      <protection/>
    </xf>
    <xf numFmtId="0" fontId="49" fillId="3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16" xfId="0" applyFont="1" applyFill="1" applyBorder="1" applyAlignment="1" applyProtection="1">
      <alignment horizontal="center" vertical="center" wrapText="1"/>
      <protection/>
    </xf>
    <xf numFmtId="0" fontId="49" fillId="34" borderId="28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7">
      <selection activeCell="D25" sqref="D25"/>
    </sheetView>
  </sheetViews>
  <sheetFormatPr defaultColWidth="11.00390625" defaultRowHeight="12.75"/>
  <cols>
    <col min="1" max="1" width="34.8515625" style="4" customWidth="1"/>
    <col min="2" max="2" width="8.421875" style="4" customWidth="1"/>
    <col min="3" max="3" width="9.421875" style="4" customWidth="1"/>
    <col min="4" max="4" width="10.140625" style="4" customWidth="1"/>
    <col min="5" max="5" width="10.421875" style="4" customWidth="1"/>
    <col min="6" max="6" width="10.28125" style="4" customWidth="1"/>
    <col min="7" max="7" width="9.140625" style="4" customWidth="1"/>
    <col min="8" max="8" width="10.28125" style="4" customWidth="1"/>
    <col min="9" max="9" width="11.8515625" style="4" customWidth="1"/>
    <col min="10" max="10" width="10.7109375" style="4" customWidth="1"/>
    <col min="11" max="11" width="10.140625" style="4" customWidth="1"/>
    <col min="12" max="16384" width="11.00390625" style="1" customWidth="1"/>
  </cols>
  <sheetData>
    <row r="1" spans="1:11" ht="20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3.5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.2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2" customFormat="1" ht="18.75" customHeight="1">
      <c r="A5" s="60"/>
      <c r="B5" s="71" t="s">
        <v>37</v>
      </c>
      <c r="C5" s="71" t="s">
        <v>2</v>
      </c>
      <c r="D5" s="71" t="s">
        <v>50</v>
      </c>
      <c r="E5" s="68" t="s">
        <v>41</v>
      </c>
      <c r="F5" s="68" t="s">
        <v>51</v>
      </c>
      <c r="G5" s="68" t="s">
        <v>52</v>
      </c>
      <c r="H5" s="68" t="s">
        <v>39</v>
      </c>
      <c r="I5" s="68" t="s">
        <v>42</v>
      </c>
      <c r="J5" s="68" t="s">
        <v>43</v>
      </c>
      <c r="K5" s="75" t="s">
        <v>38</v>
      </c>
    </row>
    <row r="6" spans="1:11" s="2" customFormat="1" ht="6.75" customHeight="1">
      <c r="A6" s="61"/>
      <c r="B6" s="72"/>
      <c r="C6" s="72"/>
      <c r="D6" s="72"/>
      <c r="E6" s="69"/>
      <c r="F6" s="69"/>
      <c r="G6" s="69"/>
      <c r="H6" s="69"/>
      <c r="I6" s="69"/>
      <c r="J6" s="69"/>
      <c r="K6" s="76"/>
    </row>
    <row r="7" spans="1:11" s="2" customFormat="1" ht="29.25" customHeight="1" thickBot="1">
      <c r="A7" s="62" t="s">
        <v>1</v>
      </c>
      <c r="B7" s="73"/>
      <c r="C7" s="73"/>
      <c r="D7" s="73"/>
      <c r="E7" s="70"/>
      <c r="F7" s="70"/>
      <c r="G7" s="70"/>
      <c r="H7" s="70"/>
      <c r="I7" s="70"/>
      <c r="J7" s="70"/>
      <c r="K7" s="77"/>
    </row>
    <row r="8" spans="1:11" ht="15.75" customHeight="1">
      <c r="A8" s="13" t="s">
        <v>3</v>
      </c>
      <c r="B8" s="14"/>
      <c r="C8" s="14"/>
      <c r="D8" s="14"/>
      <c r="E8" s="15">
        <f>SUM(E9:E16)</f>
        <v>289.484895</v>
      </c>
      <c r="F8" s="15">
        <f aca="true" t="shared" si="0" ref="F8:K8">SUM(F9:F16)</f>
        <v>114.868101</v>
      </c>
      <c r="G8" s="15">
        <f t="shared" si="0"/>
        <v>142.093785</v>
      </c>
      <c r="H8" s="15">
        <f t="shared" si="0"/>
        <v>546.446781</v>
      </c>
      <c r="I8" s="15">
        <f t="shared" si="0"/>
        <v>2059.1912190000003</v>
      </c>
      <c r="J8" s="15">
        <f t="shared" si="0"/>
        <v>2605.638</v>
      </c>
      <c r="K8" s="16">
        <f t="shared" si="0"/>
        <v>0.43482066236388006</v>
      </c>
    </row>
    <row r="9" spans="1:12" ht="13.5">
      <c r="A9" s="17" t="s">
        <v>4</v>
      </c>
      <c r="B9" s="18">
        <v>15</v>
      </c>
      <c r="C9" s="19" t="s">
        <v>5</v>
      </c>
      <c r="D9" s="18">
        <v>15</v>
      </c>
      <c r="E9" s="18">
        <f>(D9*B9)</f>
        <v>225</v>
      </c>
      <c r="F9" s="20"/>
      <c r="G9" s="20"/>
      <c r="H9" s="21">
        <f>SUM(E9:G9)</f>
        <v>225</v>
      </c>
      <c r="I9" s="20"/>
      <c r="J9" s="18">
        <f>(D9*B9)</f>
        <v>225</v>
      </c>
      <c r="K9" s="22">
        <f>J9/J$38</f>
        <v>0.037547291309027966</v>
      </c>
      <c r="L9" s="3"/>
    </row>
    <row r="10" spans="1:12" ht="13.5">
      <c r="A10" s="17" t="s">
        <v>6</v>
      </c>
      <c r="B10" s="18">
        <v>2</v>
      </c>
      <c r="C10" s="19" t="s">
        <v>5</v>
      </c>
      <c r="D10" s="18">
        <v>15</v>
      </c>
      <c r="E10" s="18"/>
      <c r="F10" s="18">
        <f>(D10*B10)</f>
        <v>30</v>
      </c>
      <c r="G10" s="20"/>
      <c r="H10" s="21">
        <f aca="true" t="shared" si="1" ref="H10:H34">SUM(E10:G10)</f>
        <v>30</v>
      </c>
      <c r="I10" s="20"/>
      <c r="J10" s="18">
        <f>(D10*B10)</f>
        <v>30</v>
      </c>
      <c r="K10" s="22">
        <f>J10/J$38</f>
        <v>0.005006305507870395</v>
      </c>
      <c r="L10" s="3"/>
    </row>
    <row r="11" spans="1:12" ht="13.5">
      <c r="A11" s="17" t="s">
        <v>7</v>
      </c>
      <c r="B11" s="20"/>
      <c r="C11" s="20"/>
      <c r="D11" s="18"/>
      <c r="E11" s="20"/>
      <c r="F11" s="20"/>
      <c r="G11" s="20"/>
      <c r="H11" s="21">
        <f t="shared" si="1"/>
        <v>0</v>
      </c>
      <c r="I11" s="20"/>
      <c r="J11" s="20"/>
      <c r="K11" s="22"/>
      <c r="L11" s="3"/>
    </row>
    <row r="12" spans="1:12" ht="13.5">
      <c r="A12" s="17" t="s">
        <v>8</v>
      </c>
      <c r="B12" s="23">
        <v>1</v>
      </c>
      <c r="C12" s="19" t="s">
        <v>9</v>
      </c>
      <c r="D12" s="24">
        <v>1181.625</v>
      </c>
      <c r="E12" s="18">
        <f>(J12*0.015)</f>
        <v>17.724375</v>
      </c>
      <c r="F12" s="18">
        <f>(J12*0.023)</f>
        <v>27.177374999999998</v>
      </c>
      <c r="G12" s="18">
        <f>(J12*0.051)</f>
        <v>60.262874999999994</v>
      </c>
      <c r="H12" s="21">
        <f t="shared" si="1"/>
        <v>105.16462499999999</v>
      </c>
      <c r="I12" s="25">
        <f>(J12*0.911)</f>
        <v>1076.460375</v>
      </c>
      <c r="J12" s="26">
        <f>(D12*B12)</f>
        <v>1181.625</v>
      </c>
      <c r="K12" s="22">
        <f>J12/J$38</f>
        <v>0.1971858581912452</v>
      </c>
      <c r="L12" s="3"/>
    </row>
    <row r="13" spans="1:12" ht="13.5">
      <c r="A13" s="17" t="s">
        <v>10</v>
      </c>
      <c r="B13" s="20"/>
      <c r="C13" s="20"/>
      <c r="D13" s="24"/>
      <c r="E13" s="18"/>
      <c r="F13" s="18"/>
      <c r="G13" s="18"/>
      <c r="H13" s="21">
        <f t="shared" si="1"/>
        <v>0</v>
      </c>
      <c r="I13" s="18"/>
      <c r="J13" s="18"/>
      <c r="K13" s="22"/>
      <c r="L13" s="3"/>
    </row>
    <row r="14" spans="1:12" ht="13.5">
      <c r="A14" s="17" t="s">
        <v>11</v>
      </c>
      <c r="B14" s="27">
        <v>0.9639</v>
      </c>
      <c r="C14" s="19" t="s">
        <v>12</v>
      </c>
      <c r="D14" s="24">
        <v>950</v>
      </c>
      <c r="E14" s="18">
        <f>(J14*0.04)</f>
        <v>36.6282</v>
      </c>
      <c r="F14" s="18">
        <f>(J14*0.05)</f>
        <v>45.78525</v>
      </c>
      <c r="G14" s="18">
        <f>(J14*0.07)</f>
        <v>64.09935</v>
      </c>
      <c r="H14" s="21">
        <f t="shared" si="1"/>
        <v>146.5128</v>
      </c>
      <c r="I14" s="18">
        <f>(J14*0.84)</f>
        <v>769.1922</v>
      </c>
      <c r="J14" s="18">
        <f>(D14*B14)</f>
        <v>915.7049999999999</v>
      </c>
      <c r="K14" s="22">
        <f>J14/J$38</f>
        <v>0.152809966169482</v>
      </c>
      <c r="L14" s="3"/>
    </row>
    <row r="15" spans="1:12" ht="13.5">
      <c r="A15" s="17" t="s">
        <v>13</v>
      </c>
      <c r="B15" s="20"/>
      <c r="C15" s="20"/>
      <c r="D15" s="24"/>
      <c r="E15" s="18"/>
      <c r="F15" s="18"/>
      <c r="G15" s="18"/>
      <c r="H15" s="21"/>
      <c r="I15" s="18"/>
      <c r="J15" s="18"/>
      <c r="K15" s="22"/>
      <c r="L15" s="3"/>
    </row>
    <row r="16" spans="1:12" ht="13.5">
      <c r="A16" s="17" t="s">
        <v>14</v>
      </c>
      <c r="B16" s="27">
        <v>0.7524</v>
      </c>
      <c r="C16" s="19" t="s">
        <v>15</v>
      </c>
      <c r="D16" s="24">
        <v>336.6666666666667</v>
      </c>
      <c r="E16" s="18">
        <f>(J16*0.04)</f>
        <v>10.13232</v>
      </c>
      <c r="F16" s="18">
        <f>(J16*0.047)</f>
        <v>11.905476</v>
      </c>
      <c r="G16" s="18">
        <f>(J16*0.07)</f>
        <v>17.73156</v>
      </c>
      <c r="H16" s="21">
        <f t="shared" si="1"/>
        <v>39.769356</v>
      </c>
      <c r="I16" s="18">
        <f>(J16*0.843)</f>
        <v>213.53864399999998</v>
      </c>
      <c r="J16" s="18">
        <f>(D16*B16)</f>
        <v>253.308</v>
      </c>
      <c r="K16" s="22">
        <f>J16/J$38</f>
        <v>0.04227124118625447</v>
      </c>
      <c r="L16" s="3"/>
    </row>
    <row r="17" spans="1:12" ht="5.25" customHeight="1">
      <c r="A17" s="28"/>
      <c r="B17" s="20"/>
      <c r="C17" s="20"/>
      <c r="D17" s="29"/>
      <c r="E17" s="18"/>
      <c r="F17" s="18"/>
      <c r="G17" s="18"/>
      <c r="H17" s="21"/>
      <c r="I17" s="18"/>
      <c r="J17" s="18"/>
      <c r="K17" s="22"/>
      <c r="L17" s="3"/>
    </row>
    <row r="18" spans="1:12" ht="13.5">
      <c r="A18" s="30" t="s">
        <v>16</v>
      </c>
      <c r="B18" s="20"/>
      <c r="C18" s="20"/>
      <c r="D18" s="29"/>
      <c r="E18" s="31">
        <f>SUM(E19:E21)</f>
        <v>650</v>
      </c>
      <c r="F18" s="31">
        <f aca="true" t="shared" si="2" ref="F18:K18">SUM(F19:F21)</f>
        <v>0</v>
      </c>
      <c r="G18" s="31">
        <f t="shared" si="2"/>
        <v>0</v>
      </c>
      <c r="H18" s="31">
        <f t="shared" si="2"/>
        <v>650</v>
      </c>
      <c r="I18" s="31">
        <f t="shared" si="2"/>
        <v>0</v>
      </c>
      <c r="J18" s="31">
        <f t="shared" si="2"/>
        <v>650</v>
      </c>
      <c r="K18" s="32">
        <f t="shared" si="2"/>
        <v>0.10846995267052523</v>
      </c>
      <c r="L18" s="3"/>
    </row>
    <row r="19" spans="1:12" ht="13.5">
      <c r="A19" s="17" t="s">
        <v>17</v>
      </c>
      <c r="B19" s="33">
        <v>1</v>
      </c>
      <c r="C19" s="19" t="s">
        <v>18</v>
      </c>
      <c r="D19" s="24">
        <v>250</v>
      </c>
      <c r="E19" s="18">
        <f>B19*D19</f>
        <v>250</v>
      </c>
      <c r="F19" s="18"/>
      <c r="G19" s="18"/>
      <c r="H19" s="21">
        <f t="shared" si="1"/>
        <v>250</v>
      </c>
      <c r="I19" s="18"/>
      <c r="J19" s="18">
        <f>B19*D19</f>
        <v>250</v>
      </c>
      <c r="K19" s="22">
        <f>J19/J$38</f>
        <v>0.041719212565586625</v>
      </c>
      <c r="L19" s="3"/>
    </row>
    <row r="20" spans="1:12" ht="13.5">
      <c r="A20" s="17" t="s">
        <v>19</v>
      </c>
      <c r="B20" s="33">
        <v>1</v>
      </c>
      <c r="C20" s="19" t="s">
        <v>18</v>
      </c>
      <c r="D20" s="24">
        <v>200</v>
      </c>
      <c r="E20" s="18">
        <f>B20*D20</f>
        <v>200</v>
      </c>
      <c r="F20" s="18"/>
      <c r="G20" s="18"/>
      <c r="H20" s="21">
        <f t="shared" si="1"/>
        <v>200</v>
      </c>
      <c r="I20" s="18"/>
      <c r="J20" s="18">
        <f>B20*D20</f>
        <v>200</v>
      </c>
      <c r="K20" s="22">
        <f>J20/J$38</f>
        <v>0.0333753700524693</v>
      </c>
      <c r="L20" s="3"/>
    </row>
    <row r="21" spans="1:12" ht="13.5">
      <c r="A21" s="17" t="s">
        <v>20</v>
      </c>
      <c r="B21" s="33">
        <v>1</v>
      </c>
      <c r="C21" s="19" t="s">
        <v>18</v>
      </c>
      <c r="D21" s="24">
        <v>200</v>
      </c>
      <c r="E21" s="18">
        <f>B21*D21</f>
        <v>200</v>
      </c>
      <c r="F21" s="18"/>
      <c r="G21" s="18"/>
      <c r="H21" s="21">
        <f t="shared" si="1"/>
        <v>200</v>
      </c>
      <c r="I21" s="18"/>
      <c r="J21" s="18">
        <f>B21*D21</f>
        <v>200</v>
      </c>
      <c r="K21" s="22">
        <f>J21/J$38</f>
        <v>0.0333753700524693</v>
      </c>
      <c r="L21" s="3"/>
    </row>
    <row r="22" spans="1:12" ht="3.75" customHeight="1">
      <c r="A22" s="28"/>
      <c r="B22" s="20"/>
      <c r="C22" s="20"/>
      <c r="D22" s="29"/>
      <c r="E22" s="18"/>
      <c r="F22" s="18"/>
      <c r="G22" s="18"/>
      <c r="H22" s="21"/>
      <c r="I22" s="18"/>
      <c r="J22" s="18"/>
      <c r="K22" s="22"/>
      <c r="L22" s="3"/>
    </row>
    <row r="23" spans="1:12" ht="13.5">
      <c r="A23" s="30" t="s">
        <v>21</v>
      </c>
      <c r="B23" s="20"/>
      <c r="C23" s="20"/>
      <c r="D23" s="29"/>
      <c r="E23" s="31">
        <f>SUM(E24:E34)</f>
        <v>723.6245</v>
      </c>
      <c r="F23" s="31">
        <f aca="true" t="shared" si="3" ref="F23:K23">SUM(F24:F34)</f>
        <v>377.9605</v>
      </c>
      <c r="G23" s="31">
        <f t="shared" si="3"/>
        <v>57.093999999999994</v>
      </c>
      <c r="H23" s="31">
        <f t="shared" si="3"/>
        <v>1158.679</v>
      </c>
      <c r="I23" s="31">
        <f t="shared" si="3"/>
        <v>1025.446</v>
      </c>
      <c r="J23" s="31">
        <f t="shared" si="3"/>
        <v>2184.125</v>
      </c>
      <c r="K23" s="32">
        <f t="shared" si="3"/>
        <v>0.36447990057924756</v>
      </c>
      <c r="L23" s="3"/>
    </row>
    <row r="24" spans="1:12" ht="13.5">
      <c r="A24" s="17" t="s">
        <v>22</v>
      </c>
      <c r="B24" s="33">
        <v>0.126</v>
      </c>
      <c r="C24" s="19" t="s">
        <v>23</v>
      </c>
      <c r="D24" s="34">
        <v>500</v>
      </c>
      <c r="E24" s="18">
        <f>(D24*B24)</f>
        <v>63</v>
      </c>
      <c r="F24" s="18"/>
      <c r="G24" s="18"/>
      <c r="H24" s="21">
        <f t="shared" si="1"/>
        <v>63</v>
      </c>
      <c r="I24" s="18"/>
      <c r="J24" s="18">
        <f aca="true" t="shared" si="4" ref="J24:J34">(D24*B24)</f>
        <v>63</v>
      </c>
      <c r="K24" s="22">
        <f aca="true" t="shared" si="5" ref="K24:K34">J24/J$38</f>
        <v>0.01051324156652783</v>
      </c>
      <c r="L24" s="3"/>
    </row>
    <row r="25" spans="1:12" ht="13.5">
      <c r="A25" s="17" t="s">
        <v>24</v>
      </c>
      <c r="B25" s="33">
        <v>0.25</v>
      </c>
      <c r="C25" s="19" t="s">
        <v>23</v>
      </c>
      <c r="D25" s="34">
        <f>+D24</f>
        <v>500</v>
      </c>
      <c r="E25" s="18">
        <f>(D25*B25)</f>
        <v>125</v>
      </c>
      <c r="F25" s="18"/>
      <c r="G25" s="18"/>
      <c r="H25" s="21">
        <f t="shared" si="1"/>
        <v>125</v>
      </c>
      <c r="I25" s="18"/>
      <c r="J25" s="18">
        <f t="shared" si="4"/>
        <v>125</v>
      </c>
      <c r="K25" s="22">
        <f t="shared" si="5"/>
        <v>0.020859606282793312</v>
      </c>
      <c r="L25" s="3"/>
    </row>
    <row r="26" spans="1:12" ht="13.5">
      <c r="A26" s="17" t="s">
        <v>25</v>
      </c>
      <c r="B26" s="33">
        <v>0.5</v>
      </c>
      <c r="C26" s="19" t="s">
        <v>23</v>
      </c>
      <c r="D26" s="34">
        <f aca="true" t="shared" si="6" ref="D26:D34">+D25</f>
        <v>500</v>
      </c>
      <c r="E26" s="18">
        <f>(D26*B26)</f>
        <v>250</v>
      </c>
      <c r="F26" s="18"/>
      <c r="G26" s="18"/>
      <c r="H26" s="21">
        <f t="shared" si="1"/>
        <v>250</v>
      </c>
      <c r="I26" s="18"/>
      <c r="J26" s="18">
        <f t="shared" si="4"/>
        <v>250</v>
      </c>
      <c r="K26" s="22">
        <f t="shared" si="5"/>
        <v>0.041719212565586625</v>
      </c>
      <c r="L26" s="3"/>
    </row>
    <row r="27" spans="1:12" ht="13.5">
      <c r="A27" s="17" t="s">
        <v>26</v>
      </c>
      <c r="B27" s="33">
        <v>0.062</v>
      </c>
      <c r="C27" s="19" t="s">
        <v>23</v>
      </c>
      <c r="D27" s="34">
        <f t="shared" si="6"/>
        <v>500</v>
      </c>
      <c r="E27" s="18"/>
      <c r="F27" s="18">
        <f>(D27*B27)</f>
        <v>31</v>
      </c>
      <c r="G27" s="18"/>
      <c r="H27" s="21">
        <f t="shared" si="1"/>
        <v>31</v>
      </c>
      <c r="I27" s="18"/>
      <c r="J27" s="18">
        <f t="shared" si="4"/>
        <v>31</v>
      </c>
      <c r="K27" s="22">
        <f t="shared" si="5"/>
        <v>0.0051731823581327415</v>
      </c>
      <c r="L27" s="3"/>
    </row>
    <row r="28" spans="1:12" ht="13.5">
      <c r="A28" s="17" t="s">
        <v>27</v>
      </c>
      <c r="B28" s="33">
        <v>0.742</v>
      </c>
      <c r="C28" s="19" t="s">
        <v>23</v>
      </c>
      <c r="D28" s="34">
        <f t="shared" si="6"/>
        <v>500</v>
      </c>
      <c r="E28" s="18">
        <f>(J28*0.014)</f>
        <v>5.194</v>
      </c>
      <c r="F28" s="18">
        <f>(J28*0.024)</f>
        <v>8.904</v>
      </c>
      <c r="G28" s="18">
        <f>(J28*0.051)</f>
        <v>18.921</v>
      </c>
      <c r="H28" s="21">
        <f t="shared" si="1"/>
        <v>33.019</v>
      </c>
      <c r="I28" s="18">
        <f>(J28*0.911)</f>
        <v>337.981</v>
      </c>
      <c r="J28" s="18">
        <f t="shared" si="4"/>
        <v>371</v>
      </c>
      <c r="K28" s="22">
        <f t="shared" si="5"/>
        <v>0.06191131144733056</v>
      </c>
      <c r="L28" s="3"/>
    </row>
    <row r="29" spans="1:12" ht="13.5">
      <c r="A29" s="17" t="s">
        <v>28</v>
      </c>
      <c r="B29" s="33">
        <v>0.255</v>
      </c>
      <c r="C29" s="19" t="s">
        <v>23</v>
      </c>
      <c r="D29" s="34">
        <f t="shared" si="6"/>
        <v>500</v>
      </c>
      <c r="E29" s="18">
        <f>(J29*0.041)</f>
        <v>5.2275</v>
      </c>
      <c r="F29" s="18">
        <f>(J29*0.061)</f>
        <v>7.7775</v>
      </c>
      <c r="G29" s="18">
        <f>(J29*0.082)</f>
        <v>10.455</v>
      </c>
      <c r="H29" s="21">
        <f t="shared" si="1"/>
        <v>23.46</v>
      </c>
      <c r="I29" s="18">
        <f>(J29*0.816)</f>
        <v>104.03999999999999</v>
      </c>
      <c r="J29" s="18">
        <f t="shared" si="4"/>
        <v>127.5</v>
      </c>
      <c r="K29" s="22">
        <f t="shared" si="5"/>
        <v>0.02127679840844918</v>
      </c>
      <c r="L29" s="3"/>
    </row>
    <row r="30" spans="1:12" ht="13.5">
      <c r="A30" s="17" t="s">
        <v>29</v>
      </c>
      <c r="B30" s="33">
        <v>0.278</v>
      </c>
      <c r="C30" s="19" t="s">
        <v>23</v>
      </c>
      <c r="D30" s="34">
        <f t="shared" si="6"/>
        <v>500</v>
      </c>
      <c r="E30" s="18">
        <f>(J30*0.044)</f>
        <v>6.116</v>
      </c>
      <c r="F30" s="18">
        <f>(J30*0.044)</f>
        <v>6.116</v>
      </c>
      <c r="G30" s="18">
        <f>(J30*0.087)</f>
        <v>12.093</v>
      </c>
      <c r="H30" s="21">
        <f t="shared" si="1"/>
        <v>24.325</v>
      </c>
      <c r="I30" s="18">
        <f>(J30*0.825)</f>
        <v>114.675</v>
      </c>
      <c r="J30" s="18">
        <f t="shared" si="4"/>
        <v>139</v>
      </c>
      <c r="K30" s="22">
        <f t="shared" si="5"/>
        <v>0.023195882186466166</v>
      </c>
      <c r="L30" s="3"/>
    </row>
    <row r="31" spans="1:12" ht="13.5">
      <c r="A31" s="17" t="s">
        <v>30</v>
      </c>
      <c r="B31" s="33">
        <f>2.5/8</f>
        <v>0.3125</v>
      </c>
      <c r="C31" s="19" t="s">
        <v>23</v>
      </c>
      <c r="D31" s="34">
        <f t="shared" si="6"/>
        <v>500</v>
      </c>
      <c r="E31" s="18">
        <f>(J31*0.1)</f>
        <v>15.625</v>
      </c>
      <c r="F31" s="18">
        <f>(J31*0.1)</f>
        <v>15.625</v>
      </c>
      <c r="G31" s="18">
        <f>(J31*0.1)</f>
        <v>15.625</v>
      </c>
      <c r="H31" s="21">
        <f t="shared" si="1"/>
        <v>46.875</v>
      </c>
      <c r="I31" s="18">
        <f>(J31*0.7)</f>
        <v>109.375</v>
      </c>
      <c r="J31" s="18">
        <f t="shared" si="4"/>
        <v>156.25</v>
      </c>
      <c r="K31" s="22">
        <f t="shared" si="5"/>
        <v>0.026074507853491642</v>
      </c>
      <c r="L31" s="3"/>
    </row>
    <row r="32" spans="1:12" ht="13.5">
      <c r="A32" s="17" t="s">
        <v>31</v>
      </c>
      <c r="B32" s="33">
        <v>0.562</v>
      </c>
      <c r="C32" s="19" t="s">
        <v>23</v>
      </c>
      <c r="D32" s="34">
        <f t="shared" si="6"/>
        <v>500</v>
      </c>
      <c r="E32" s="18">
        <f>(J32*0.451)</f>
        <v>126.73100000000001</v>
      </c>
      <c r="F32" s="18">
        <f>(J32*0.549)</f>
        <v>154.269</v>
      </c>
      <c r="G32" s="18"/>
      <c r="H32" s="21">
        <f t="shared" si="1"/>
        <v>281</v>
      </c>
      <c r="I32" s="18"/>
      <c r="J32" s="18">
        <f t="shared" si="4"/>
        <v>281</v>
      </c>
      <c r="K32" s="22">
        <f t="shared" si="5"/>
        <v>0.04689239492371937</v>
      </c>
      <c r="L32" s="3"/>
    </row>
    <row r="33" spans="1:12" ht="13.5">
      <c r="A33" s="17" t="s">
        <v>32</v>
      </c>
      <c r="B33" s="33">
        <v>0.562</v>
      </c>
      <c r="C33" s="19" t="s">
        <v>23</v>
      </c>
      <c r="D33" s="34">
        <f t="shared" si="6"/>
        <v>500</v>
      </c>
      <c r="E33" s="18">
        <f>(J33*0.451)</f>
        <v>126.73100000000001</v>
      </c>
      <c r="F33" s="18">
        <f>(J33*0.549)</f>
        <v>154.269</v>
      </c>
      <c r="G33" s="18"/>
      <c r="H33" s="21">
        <f t="shared" si="1"/>
        <v>281</v>
      </c>
      <c r="I33" s="18"/>
      <c r="J33" s="18">
        <f t="shared" si="4"/>
        <v>281</v>
      </c>
      <c r="K33" s="22">
        <f t="shared" si="5"/>
        <v>0.04689239492371937</v>
      </c>
      <c r="L33" s="3"/>
    </row>
    <row r="34" spans="1:12" ht="14.25" thickBot="1">
      <c r="A34" s="35" t="s">
        <v>33</v>
      </c>
      <c r="B34" s="36">
        <f>5.75/8</f>
        <v>0.71875</v>
      </c>
      <c r="C34" s="37" t="s">
        <v>23</v>
      </c>
      <c r="D34" s="38">
        <f t="shared" si="6"/>
        <v>500</v>
      </c>
      <c r="E34" s="39"/>
      <c r="F34" s="39"/>
      <c r="G34" s="39"/>
      <c r="H34" s="40">
        <f t="shared" si="1"/>
        <v>0</v>
      </c>
      <c r="I34" s="39">
        <f>(D34*B34)</f>
        <v>359.375</v>
      </c>
      <c r="J34" s="39">
        <f t="shared" si="4"/>
        <v>359.375</v>
      </c>
      <c r="K34" s="41">
        <f t="shared" si="5"/>
        <v>0.05997136806303078</v>
      </c>
      <c r="L34" s="3"/>
    </row>
    <row r="35" spans="1:19" s="2" customFormat="1" ht="13.5" customHeight="1">
      <c r="A35" s="53" t="s">
        <v>34</v>
      </c>
      <c r="B35" s="54"/>
      <c r="C35" s="54"/>
      <c r="D35" s="54"/>
      <c r="E35" s="47">
        <f aca="true" t="shared" si="7" ref="E35:J35">E8+E18+E23</f>
        <v>1663.109395</v>
      </c>
      <c r="F35" s="47">
        <f t="shared" si="7"/>
        <v>492.82860100000005</v>
      </c>
      <c r="G35" s="47">
        <f t="shared" si="7"/>
        <v>199.187785</v>
      </c>
      <c r="H35" s="47">
        <f t="shared" si="7"/>
        <v>2355.125781</v>
      </c>
      <c r="I35" s="47">
        <f t="shared" si="7"/>
        <v>3084.637219</v>
      </c>
      <c r="J35" s="50">
        <f t="shared" si="7"/>
        <v>5439.763</v>
      </c>
      <c r="K35" s="55">
        <f>+K23+K18+K8</f>
        <v>0.9077705156136529</v>
      </c>
      <c r="M35" s="1"/>
      <c r="N35" s="1"/>
      <c r="O35" s="1"/>
      <c r="P35" s="1"/>
      <c r="Q35" s="1"/>
      <c r="R35" s="1"/>
      <c r="S35" s="1"/>
    </row>
    <row r="36" spans="1:19" s="2" customFormat="1" ht="18" customHeight="1">
      <c r="A36" s="43" t="s">
        <v>35</v>
      </c>
      <c r="B36" s="42"/>
      <c r="C36" s="42"/>
      <c r="D36" s="42"/>
      <c r="E36" s="48">
        <f aca="true" t="shared" si="8" ref="E36:J36">(E35*0.02)</f>
        <v>33.2621879</v>
      </c>
      <c r="F36" s="48">
        <f t="shared" si="8"/>
        <v>9.856572020000002</v>
      </c>
      <c r="G36" s="48">
        <f t="shared" si="8"/>
        <v>3.9837557</v>
      </c>
      <c r="H36" s="48">
        <f t="shared" si="8"/>
        <v>47.102515620000005</v>
      </c>
      <c r="I36" s="48">
        <f t="shared" si="8"/>
        <v>61.69274438000001</v>
      </c>
      <c r="J36" s="51">
        <f t="shared" si="8"/>
        <v>108.79526</v>
      </c>
      <c r="K36" s="56">
        <f>J36/J$38</f>
        <v>0.01815541031227306</v>
      </c>
      <c r="L36" s="58">
        <f>+J36+J37</f>
        <v>552.6799208</v>
      </c>
      <c r="M36" s="1"/>
      <c r="N36" s="1"/>
      <c r="O36" s="1"/>
      <c r="P36" s="1"/>
      <c r="Q36" s="1"/>
      <c r="R36" s="1"/>
      <c r="S36" s="1"/>
    </row>
    <row r="37" spans="1:19" s="2" customFormat="1" ht="13.5" customHeight="1" thickBot="1">
      <c r="A37" s="44" t="s">
        <v>53</v>
      </c>
      <c r="B37" s="45"/>
      <c r="C37" s="45"/>
      <c r="D37" s="45"/>
      <c r="E37" s="49">
        <f aca="true" t="shared" si="9" ref="E37:J37">SUM(E35:E36)*0.08</f>
        <v>135.709726632</v>
      </c>
      <c r="F37" s="49">
        <f t="shared" si="9"/>
        <v>40.214813841600005</v>
      </c>
      <c r="G37" s="49">
        <f t="shared" si="9"/>
        <v>16.253723255999997</v>
      </c>
      <c r="H37" s="49">
        <f t="shared" si="9"/>
        <v>192.17826372960002</v>
      </c>
      <c r="I37" s="49">
        <f t="shared" si="9"/>
        <v>251.70639707040002</v>
      </c>
      <c r="J37" s="52">
        <f t="shared" si="9"/>
        <v>443.8846608</v>
      </c>
      <c r="K37" s="57">
        <f>J37/J$38</f>
        <v>0.07407407407407407</v>
      </c>
      <c r="M37" s="1"/>
      <c r="N37" s="1"/>
      <c r="O37" s="1"/>
      <c r="P37" s="1"/>
      <c r="Q37" s="1"/>
      <c r="R37" s="1"/>
      <c r="S37" s="1"/>
    </row>
    <row r="38" spans="1:19" s="2" customFormat="1" ht="17.25" customHeight="1" thickBot="1">
      <c r="A38" s="63" t="s">
        <v>36</v>
      </c>
      <c r="B38" s="64"/>
      <c r="C38" s="64"/>
      <c r="D38" s="64"/>
      <c r="E38" s="65">
        <f aca="true" t="shared" si="10" ref="E38:K38">SUM(E35:E37)</f>
        <v>1832.081309532</v>
      </c>
      <c r="F38" s="65">
        <f t="shared" si="10"/>
        <v>542.8999868616</v>
      </c>
      <c r="G38" s="65">
        <f t="shared" si="10"/>
        <v>219.42526395599998</v>
      </c>
      <c r="H38" s="65">
        <f t="shared" si="10"/>
        <v>2594.4065603496</v>
      </c>
      <c r="I38" s="65">
        <f t="shared" si="10"/>
        <v>3398.0363604504</v>
      </c>
      <c r="J38" s="66">
        <f>SUM(J35:J37)</f>
        <v>5992.4429208</v>
      </c>
      <c r="K38" s="67">
        <f t="shared" si="10"/>
        <v>1</v>
      </c>
      <c r="M38" s="1"/>
      <c r="N38" s="1"/>
      <c r="O38" s="1"/>
      <c r="P38" s="1"/>
      <c r="Q38" s="1"/>
      <c r="R38" s="1"/>
      <c r="S38" s="1"/>
    </row>
    <row r="39" spans="1:11" ht="16.5" customHeight="1">
      <c r="A39" s="7" t="s">
        <v>47</v>
      </c>
      <c r="B39" s="7"/>
      <c r="C39" s="7"/>
      <c r="D39" s="7"/>
      <c r="E39" s="7"/>
      <c r="F39" s="7"/>
      <c r="G39" s="7"/>
      <c r="H39" s="7"/>
      <c r="I39" s="7"/>
      <c r="J39" s="8">
        <v>175</v>
      </c>
      <c r="K39" s="7"/>
    </row>
    <row r="40" spans="1:11" ht="33" customHeight="1">
      <c r="A40" s="82" t="s">
        <v>55</v>
      </c>
      <c r="B40" s="82"/>
      <c r="C40" s="82"/>
      <c r="D40" s="82"/>
      <c r="E40" s="82"/>
      <c r="F40" s="82"/>
      <c r="G40" s="82"/>
      <c r="H40" s="82"/>
      <c r="I40" s="82"/>
      <c r="J40" s="82"/>
      <c r="K40" s="7"/>
    </row>
    <row r="41" spans="1:11" s="4" customFormat="1" ht="17.25" customHeight="1">
      <c r="A41" s="80" t="s">
        <v>48</v>
      </c>
      <c r="B41" s="80"/>
      <c r="C41" s="80"/>
      <c r="D41" s="80"/>
      <c r="E41" s="80"/>
      <c r="F41" s="80"/>
      <c r="G41" s="80"/>
      <c r="H41" s="80"/>
      <c r="I41" s="80"/>
      <c r="J41" s="80"/>
      <c r="K41" s="7"/>
    </row>
    <row r="42" spans="1:11" s="4" customFormat="1" ht="18" customHeight="1">
      <c r="A42" s="81" t="s">
        <v>44</v>
      </c>
      <c r="B42" s="81"/>
      <c r="C42" s="81"/>
      <c r="D42" s="81"/>
      <c r="E42" s="81"/>
      <c r="F42" s="81"/>
      <c r="G42" s="81"/>
      <c r="H42" s="81"/>
      <c r="I42" s="81"/>
      <c r="J42" s="81"/>
      <c r="K42" s="7"/>
    </row>
    <row r="43" spans="1:11" s="4" customFormat="1" ht="12.75" customHeight="1">
      <c r="A43" s="7" t="s">
        <v>46</v>
      </c>
      <c r="B43" s="7"/>
      <c r="C43" s="9"/>
      <c r="D43" s="10"/>
      <c r="E43" s="7"/>
      <c r="F43" s="7"/>
      <c r="G43" s="9"/>
      <c r="H43" s="10"/>
      <c r="I43" s="11"/>
      <c r="J43" s="7"/>
      <c r="K43" s="7"/>
    </row>
    <row r="44" spans="1:11" s="4" customFormat="1" ht="13.5">
      <c r="A44" s="7" t="s">
        <v>45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4" customFormat="1" ht="13.5">
      <c r="A45" s="7" t="s">
        <v>49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8.25" customHeight="1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 customHeight="1">
      <c r="A47" s="79" t="s">
        <v>40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1:11" ht="8.25" customHeight="1">
      <c r="A48" s="12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1.25" customHeight="1">
      <c r="A49" s="74">
        <v>150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1" spans="4:10" ht="13.5">
      <c r="D51" s="5"/>
      <c r="E51" s="5"/>
      <c r="F51" s="5"/>
      <c r="G51" s="5"/>
      <c r="H51" s="5"/>
      <c r="I51" s="5"/>
      <c r="J51" s="5"/>
    </row>
    <row r="52" spans="4:10" ht="13.5">
      <c r="D52" s="5"/>
      <c r="E52" s="5"/>
      <c r="F52" s="5"/>
      <c r="G52" s="5"/>
      <c r="H52" s="5"/>
      <c r="I52" s="5"/>
      <c r="J52" s="5"/>
    </row>
    <row r="53" spans="4:10" ht="13.5">
      <c r="D53" s="5"/>
      <c r="E53" s="5"/>
      <c r="F53" s="5"/>
      <c r="G53" s="5"/>
      <c r="H53" s="5"/>
      <c r="I53" s="5"/>
      <c r="J53" s="5"/>
    </row>
    <row r="54" spans="4:10" ht="13.5">
      <c r="D54" s="5"/>
      <c r="E54" s="5"/>
      <c r="F54" s="5"/>
      <c r="G54" s="5"/>
      <c r="H54" s="5"/>
      <c r="I54" s="5"/>
      <c r="J54" s="5"/>
    </row>
    <row r="55" spans="4:10" ht="13.5">
      <c r="D55" s="5"/>
      <c r="E55" s="5"/>
      <c r="F55" s="5"/>
      <c r="G55" s="5"/>
      <c r="H55" s="5"/>
      <c r="I55" s="5"/>
      <c r="J55" s="5"/>
    </row>
    <row r="56" spans="4:10" ht="13.5">
      <c r="D56" s="5"/>
      <c r="E56" s="5"/>
      <c r="F56" s="5"/>
      <c r="G56" s="5"/>
      <c r="H56" s="5"/>
      <c r="I56" s="5"/>
      <c r="J56" s="5"/>
    </row>
    <row r="57" spans="2:10" ht="13.5">
      <c r="B57" s="6"/>
      <c r="D57" s="5"/>
      <c r="E57" s="5"/>
      <c r="F57" s="5"/>
      <c r="G57" s="5"/>
      <c r="H57" s="5"/>
      <c r="I57" s="5"/>
      <c r="J57" s="5"/>
    </row>
    <row r="58" spans="2:10" ht="13.5">
      <c r="B58" s="6"/>
      <c r="D58" s="5"/>
      <c r="E58" s="5"/>
      <c r="F58" s="5"/>
      <c r="G58" s="5"/>
      <c r="H58" s="5"/>
      <c r="I58" s="5"/>
      <c r="J58" s="5"/>
    </row>
    <row r="59" spans="2:10" ht="13.5">
      <c r="B59" s="6"/>
      <c r="D59" s="5"/>
      <c r="E59" s="5"/>
      <c r="F59" s="5"/>
      <c r="G59" s="5"/>
      <c r="H59" s="5"/>
      <c r="I59" s="5"/>
      <c r="J59" s="5"/>
    </row>
    <row r="60" spans="4:10" ht="13.5">
      <c r="D60" s="5"/>
      <c r="E60" s="5"/>
      <c r="F60" s="5"/>
      <c r="G60" s="5"/>
      <c r="H60" s="5"/>
      <c r="I60" s="5"/>
      <c r="J60" s="5"/>
    </row>
    <row r="61" spans="4:10" ht="13.5">
      <c r="D61" s="5"/>
      <c r="E61" s="5"/>
      <c r="F61" s="5"/>
      <c r="G61" s="5"/>
      <c r="H61" s="5"/>
      <c r="I61" s="5"/>
      <c r="J61" s="5"/>
    </row>
    <row r="62" spans="2:10" ht="13.5">
      <c r="B62" s="6"/>
      <c r="D62" s="5"/>
      <c r="E62" s="5"/>
      <c r="F62" s="5"/>
      <c r="G62" s="5"/>
      <c r="H62" s="5"/>
      <c r="I62" s="5"/>
      <c r="J62" s="5"/>
    </row>
    <row r="63" spans="2:10" ht="13.5">
      <c r="B63" s="6"/>
      <c r="D63" s="5"/>
      <c r="E63" s="5"/>
      <c r="F63" s="5"/>
      <c r="G63" s="5"/>
      <c r="H63" s="5"/>
      <c r="I63" s="5"/>
      <c r="J63" s="5"/>
    </row>
    <row r="64" spans="2:10" ht="13.5">
      <c r="B64" s="6"/>
      <c r="D64" s="5"/>
      <c r="E64" s="5"/>
      <c r="F64" s="5"/>
      <c r="G64" s="5"/>
      <c r="H64" s="5"/>
      <c r="I64" s="5"/>
      <c r="J64" s="5"/>
    </row>
    <row r="65" spans="2:10" ht="13.5">
      <c r="B65" s="6"/>
      <c r="D65" s="5"/>
      <c r="E65" s="5"/>
      <c r="F65" s="5"/>
      <c r="G65" s="5"/>
      <c r="H65" s="5"/>
      <c r="I65" s="5"/>
      <c r="J65" s="5"/>
    </row>
    <row r="66" spans="2:10" ht="13.5">
      <c r="B66" s="6"/>
      <c r="D66" s="5"/>
      <c r="E66" s="5"/>
      <c r="F66" s="5"/>
      <c r="G66" s="5"/>
      <c r="H66" s="5"/>
      <c r="I66" s="5"/>
      <c r="J66" s="5"/>
    </row>
    <row r="67" spans="2:10" ht="13.5">
      <c r="B67" s="6"/>
      <c r="D67" s="5"/>
      <c r="E67" s="5"/>
      <c r="F67" s="5"/>
      <c r="G67" s="5"/>
      <c r="H67" s="5"/>
      <c r="I67" s="5"/>
      <c r="J67" s="5"/>
    </row>
    <row r="68" spans="2:10" ht="13.5">
      <c r="B68" s="6"/>
      <c r="D68" s="5"/>
      <c r="E68" s="5"/>
      <c r="F68" s="5"/>
      <c r="G68" s="5"/>
      <c r="H68" s="5"/>
      <c r="I68" s="5"/>
      <c r="J68" s="5"/>
    </row>
    <row r="69" spans="2:10" ht="13.5">
      <c r="B69" s="6"/>
      <c r="D69" s="5"/>
      <c r="E69" s="5"/>
      <c r="F69" s="5"/>
      <c r="G69" s="5"/>
      <c r="H69" s="5"/>
      <c r="I69" s="5"/>
      <c r="J69" s="5"/>
    </row>
    <row r="70" spans="2:10" ht="13.5">
      <c r="B70" s="6"/>
      <c r="D70" s="5"/>
      <c r="E70" s="5"/>
      <c r="F70" s="5"/>
      <c r="G70" s="5"/>
      <c r="H70" s="5"/>
      <c r="I70" s="5"/>
      <c r="J70" s="5"/>
    </row>
    <row r="71" spans="2:10" ht="13.5">
      <c r="B71" s="6"/>
      <c r="D71" s="5"/>
      <c r="E71" s="5"/>
      <c r="F71" s="5"/>
      <c r="G71" s="5"/>
      <c r="H71" s="5"/>
      <c r="I71" s="5"/>
      <c r="J71" s="5"/>
    </row>
  </sheetData>
  <sheetProtection/>
  <mergeCells count="17">
    <mergeCell ref="A49:K49"/>
    <mergeCell ref="K5:K7"/>
    <mergeCell ref="A1:K1"/>
    <mergeCell ref="A2:K2"/>
    <mergeCell ref="A47:K47"/>
    <mergeCell ref="H5:H7"/>
    <mergeCell ref="A41:J41"/>
    <mergeCell ref="A42:J42"/>
    <mergeCell ref="A40:J40"/>
    <mergeCell ref="I5:I7"/>
    <mergeCell ref="J5:J7"/>
    <mergeCell ref="B5:B7"/>
    <mergeCell ref="C5:C7"/>
    <mergeCell ref="D5:D7"/>
    <mergeCell ref="F5:F7"/>
    <mergeCell ref="G5:G7"/>
    <mergeCell ref="E5:E7"/>
  </mergeCells>
  <printOptions/>
  <pageMargins left="0.9448818897637796" right="0.1968503937007874" top="0.3937007874015748" bottom="0.6299212598425197" header="0.31496062992125984" footer="0.31496062992125984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Karisovic</cp:lastModifiedBy>
  <cp:lastPrinted>2017-04-25T15:55:03Z</cp:lastPrinted>
  <dcterms:created xsi:type="dcterms:W3CDTF">2007-12-07T16:21:30Z</dcterms:created>
  <dcterms:modified xsi:type="dcterms:W3CDTF">2019-07-19T16:15:53Z</dcterms:modified>
  <cp:category/>
  <cp:version/>
  <cp:contentType/>
  <cp:contentStatus/>
</cp:coreProperties>
</file>