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'Hoja1'!$1:$20</definedName>
  </definedNames>
  <calcPr fullCalcOnLoad="1"/>
</workbook>
</file>

<file path=xl/sharedStrings.xml><?xml version="1.0" encoding="utf-8"?>
<sst xmlns="http://schemas.openxmlformats.org/spreadsheetml/2006/main" count="192" uniqueCount="132">
  <si>
    <t>AREA APLIC....</t>
  </si>
  <si>
    <t>ENTREVISTAS...</t>
  </si>
  <si>
    <t>VARIEDAD</t>
  </si>
  <si>
    <t>RENDIMIENTO</t>
  </si>
  <si>
    <t>HOMBRE-DIA</t>
  </si>
  <si>
    <t>8 Horas</t>
  </si>
  <si>
    <t>JORNAL DIARIO :</t>
  </si>
  <si>
    <t>COSTOS VARIABLES DE PRODUCCION POR TAREA</t>
  </si>
  <si>
    <t xml:space="preserve">  Costo</t>
  </si>
  <si>
    <t xml:space="preserve"> Actividad - Servicios o Insumos</t>
  </si>
  <si>
    <t xml:space="preserve"> Mes</t>
  </si>
  <si>
    <t xml:space="preserve"> Unidad</t>
  </si>
  <si>
    <t xml:space="preserve">  (RD$)</t>
  </si>
  <si>
    <t>1.   Insumos</t>
  </si>
  <si>
    <t>Quintal</t>
  </si>
  <si>
    <t>Kilo</t>
  </si>
  <si>
    <t>Litro</t>
  </si>
  <si>
    <t>Tarea</t>
  </si>
  <si>
    <t>2.   Preparación del Semillero:</t>
  </si>
  <si>
    <t>Hom-Día</t>
  </si>
  <si>
    <t>I</t>
  </si>
  <si>
    <t>4.   Preparación del Terreno:</t>
  </si>
  <si>
    <t>II</t>
  </si>
  <si>
    <t>III</t>
  </si>
  <si>
    <t xml:space="preserve">     15-15-15)</t>
  </si>
  <si>
    <t>IV</t>
  </si>
  <si>
    <t>V</t>
  </si>
  <si>
    <t>SUBTOTAL</t>
  </si>
  <si>
    <t>GASTO SEGURO AGRICOLA</t>
  </si>
  <si>
    <t>TOTAL</t>
  </si>
  <si>
    <t>I. Semillero             :</t>
  </si>
  <si>
    <t>III. Mano de Obra:</t>
  </si>
  <si>
    <t>II.Preparación de terreno:</t>
  </si>
  <si>
    <t>IV. Insumos      :</t>
  </si>
  <si>
    <t>FECHA :</t>
  </si>
  <si>
    <t>Trasplante</t>
  </si>
  <si>
    <t>Alto</t>
  </si>
  <si>
    <t>Unidad</t>
  </si>
  <si>
    <t xml:space="preserve"> Valor/</t>
  </si>
  <si>
    <t>Cant.</t>
  </si>
  <si>
    <t>Costo/</t>
  </si>
  <si>
    <t>METODO SIEMBRA.</t>
  </si>
  <si>
    <t>ORIGEN DE AGUAS</t>
  </si>
  <si>
    <t>NIVEL  DE INSUMOS...</t>
  </si>
  <si>
    <t>PREP. DE TERRENO</t>
  </si>
  <si>
    <t>CLASIF.  DE TERRENO</t>
  </si>
  <si>
    <t>CARAC. ESPECIAL</t>
  </si>
  <si>
    <t>Arroz</t>
  </si>
  <si>
    <t>5 Meses</t>
  </si>
  <si>
    <t>COSTO CODIGO</t>
  </si>
  <si>
    <t>0-10-1233A*</t>
  </si>
  <si>
    <t>Riego-Grav.</t>
  </si>
  <si>
    <t>Sem-Mec.</t>
  </si>
  <si>
    <t>Porte Bajo</t>
  </si>
  <si>
    <t xml:space="preserve">RUBRO.......                </t>
  </si>
  <si>
    <t xml:space="preserve">CICLO.....                         </t>
  </si>
  <si>
    <t>Prosequisa-5</t>
  </si>
  <si>
    <t xml:space="preserve">Coeficiente Técnico por Actividad </t>
  </si>
  <si>
    <t>Participación (%) por Actividad</t>
  </si>
  <si>
    <t>.......................................</t>
  </si>
  <si>
    <t>GASTOS ADMINISTRATIVOS  2%</t>
  </si>
  <si>
    <t>NORDESTE</t>
  </si>
  <si>
    <t>Fanega de 100Kg</t>
  </si>
  <si>
    <t xml:space="preserve">  MINISTERIO DE AGRICULTURA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</si>
  <si>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</si>
  <si>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</si>
  <si>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</si>
  <si>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Notas:</t>
  </si>
  <si>
    <t>El uso de una "MARCA DE FABRICA" no constituye una recomendación del producto, sino lo que informaron los productores.</t>
  </si>
  <si>
    <t xml:space="preserve">               Estimados por la División de Estudios Económicos.-</t>
  </si>
  <si>
    <t>Fuente:  Ministerio de Agricultura, Departamento de Economía Agropecuaria.</t>
  </si>
  <si>
    <t>Año Preliminar</t>
  </si>
  <si>
    <t>1. Semilla</t>
  </si>
  <si>
    <t>2.Fertilizante (Urea)</t>
  </si>
  <si>
    <t>3. Fertilizante (15-15-15)</t>
  </si>
  <si>
    <t>4. Fertilizante (Sulfato)</t>
  </si>
  <si>
    <t>5. Fertilizante (20-5-20)</t>
  </si>
  <si>
    <t>6.  Fungicida (Mancoceb)</t>
  </si>
  <si>
    <t>7.  Fungicida (Azufre)</t>
  </si>
  <si>
    <t>8. Fungicida (Isoprothiolane)</t>
  </si>
  <si>
    <t>9. Fungicida  (Tricyclazole)</t>
  </si>
  <si>
    <t>10.  Insecticida (Cipermetrina)</t>
  </si>
  <si>
    <t>11. Insecticida (Imidacroprid)</t>
  </si>
  <si>
    <t>12.  Insecticida (Organofosforado)</t>
  </si>
  <si>
    <t>13.  Herbicida (Acido 2,4  diclorofenoxiacético)</t>
  </si>
  <si>
    <t>14.  Herbicida (Quinclorac)</t>
  </si>
  <si>
    <t>15.  Herbicida (Butaclor)</t>
  </si>
  <si>
    <t>16. Molusquicida Fentin (Acetato de fetin)</t>
  </si>
  <si>
    <t>17. Raticida Racumin (Coumafetraly)</t>
  </si>
  <si>
    <t>18. Transporte de Insumos</t>
  </si>
  <si>
    <t>19. Pago de Agua INDRHI (5 Meses)</t>
  </si>
  <si>
    <t xml:space="preserve">6. Aplicación Fertilizantes </t>
  </si>
  <si>
    <t>7.  Aplicación Pesticidas</t>
  </si>
  <si>
    <t>8. Desyerbo</t>
  </si>
  <si>
    <t>1. Fangueo</t>
  </si>
  <si>
    <t>2. Mureo</t>
  </si>
  <si>
    <t>3. Nivelación Animal</t>
  </si>
  <si>
    <t>4. Regada de Semilla</t>
  </si>
  <si>
    <t>5.  Riegos (7 Aplic.)</t>
  </si>
  <si>
    <t xml:space="preserve">    (0.0556 QQ Urea + 0.2340 QQ</t>
  </si>
  <si>
    <t xml:space="preserve">    15-15-15+ 0.2253 QQ Sultado)</t>
  </si>
  <si>
    <t xml:space="preserve">    (0.0650 Lts Calidan + 0.0762 Kg;</t>
  </si>
  <si>
    <t xml:space="preserve">     Dithane M-45)</t>
  </si>
  <si>
    <t>3. Limpieza de Canales</t>
  </si>
  <si>
    <t xml:space="preserve">4. Trasplante </t>
  </si>
  <si>
    <t>5.  Riegos (3 Aplic.)</t>
  </si>
  <si>
    <t>6. Aplicación Fertilizante</t>
  </si>
  <si>
    <t xml:space="preserve">    15-15-15)</t>
  </si>
  <si>
    <t>7. Aplicación Herbicidas</t>
  </si>
  <si>
    <t xml:space="preserve">    (0.0799 Lt; 2-4-D + 0.1506 Lt;</t>
  </si>
  <si>
    <t xml:space="preserve">     Machete 600 EC)</t>
  </si>
  <si>
    <t>8. Aplicación Pesticidas (2 Aplic.)</t>
  </si>
  <si>
    <t>9.  Riegos (2 Aplic.)</t>
  </si>
  <si>
    <t>10. Desyerbo</t>
  </si>
  <si>
    <t>11. Aplicación Fertilizante</t>
  </si>
  <si>
    <t>12. Riegos (2 Aplic.)</t>
  </si>
  <si>
    <t>13.Desyerbo</t>
  </si>
  <si>
    <t>14. Aplicación Fertilizante</t>
  </si>
  <si>
    <t xml:space="preserve">     (0.0556 QQ Urea + 0.2851 QQ 20-5-20)</t>
  </si>
  <si>
    <t>15.Aplicación Insecticida</t>
  </si>
  <si>
    <t xml:space="preserve">    (0.0.0305 Lts cipermetrina </t>
  </si>
  <si>
    <t>16 . Aplicación Insecticida</t>
  </si>
  <si>
    <t xml:space="preserve">    (0.0185 Lt confidor  + 0.0529 curacron )</t>
  </si>
  <si>
    <t>17.Aplicación (Molusquicida y Raticida)</t>
  </si>
  <si>
    <t>18.Cosecha (Mecanizada)</t>
  </si>
  <si>
    <t>19. Transporte Interno</t>
  </si>
  <si>
    <t>Página 24</t>
  </si>
  <si>
    <t>Página 25</t>
  </si>
  <si>
    <t>Página 26</t>
  </si>
  <si>
    <t>PAGO INTERES 8.0% ANUAL (5 MESES 3.33%)</t>
  </si>
  <si>
    <t>2019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</si>
  <si>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 de los Insumos actualizados a mayo, 2019.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</si>
</sst>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_);_(* \(#,##0.0000\);_(* &quot;-&quot;????_);_(@_)"/>
    <numFmt numFmtId="196" formatCode="0.0000"/>
    <numFmt numFmtId="197" formatCode="#,##0.0\ _€;\-#,##0.0\ _€"/>
    <numFmt numFmtId="198" formatCode="_-* #,##0.00_-;\-* #,##0.00_-;_-* &quot;-&quot;??_-;_-@_-"/>
    <numFmt numFmtId="199" formatCode="_-* #,##0_-;\-* #,##0_-;_-* &quot;-&quot;??_-;_-@_-"/>
    <numFmt numFmtId="200" formatCode="#,##0.00_ ;\-#,##0.00\ "/>
    <numFmt numFmtId="201" formatCode="#,##0.000"/>
    <numFmt numFmtId="202" formatCode="#,##0.000000000000_);\(#,##0.000000000000\)"/>
    <numFmt numFmtId="203" formatCode="#,##0.00000000000_);\(#,##0.00000000000\)"/>
    <numFmt numFmtId="204" formatCode="0.000000000000"/>
    <numFmt numFmtId="205" formatCode="0.00000000000"/>
    <numFmt numFmtId="206" formatCode="0.0%"/>
    <numFmt numFmtId="207" formatCode="0.000%"/>
    <numFmt numFmtId="208" formatCode="0.0000%"/>
    <numFmt numFmtId="209" formatCode="0.00000%"/>
    <numFmt numFmtId="210" formatCode="0.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"/>
    <numFmt numFmtId="217" formatCode="0.0"/>
  </numFmts>
  <fonts count="5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0"/>
      <color indexed="12"/>
      <name val="Arial Narrow"/>
      <family val="2"/>
    </font>
    <font>
      <b/>
      <u val="single"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  <fill>
      <patternFill patternType="solid">
        <fgColor rgb="FFBBF5B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9" fontId="2" fillId="0" borderId="0" xfId="54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9" fontId="3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10" fontId="2" fillId="33" borderId="0" xfId="0" applyNumberFormat="1" applyFont="1" applyFill="1" applyAlignment="1">
      <alignment/>
    </xf>
    <xf numFmtId="9" fontId="2" fillId="33" borderId="0" xfId="54" applyFont="1" applyFill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187" fontId="2" fillId="33" borderId="0" xfId="0" applyNumberFormat="1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 horizontal="left"/>
      <protection/>
    </xf>
    <xf numFmtId="188" fontId="2" fillId="33" borderId="0" xfId="0" applyNumberFormat="1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188" fontId="3" fillId="33" borderId="0" xfId="0" applyNumberFormat="1" applyFont="1" applyFill="1" applyAlignment="1" applyProtection="1">
      <alignment horizontal="right"/>
      <protection/>
    </xf>
    <xf numFmtId="189" fontId="2" fillId="33" borderId="0" xfId="0" applyNumberFormat="1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49" fontId="11" fillId="33" borderId="0" xfId="0" applyNumberFormat="1" applyFont="1" applyFill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90" fontId="2" fillId="33" borderId="11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39" fontId="2" fillId="33" borderId="11" xfId="0" applyNumberFormat="1" applyFont="1" applyFill="1" applyBorder="1" applyAlignment="1" applyProtection="1">
      <alignment/>
      <protection/>
    </xf>
    <xf numFmtId="9" fontId="2" fillId="33" borderId="12" xfId="54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left"/>
      <protection/>
    </xf>
    <xf numFmtId="187" fontId="2" fillId="33" borderId="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/>
    </xf>
    <xf numFmtId="43" fontId="2" fillId="33" borderId="11" xfId="47" applyFont="1" applyFill="1" applyBorder="1" applyAlignment="1">
      <alignment/>
    </xf>
    <xf numFmtId="39" fontId="50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 horizontal="center"/>
    </xf>
    <xf numFmtId="7" fontId="2" fillId="33" borderId="0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190" fontId="2" fillId="33" borderId="15" xfId="0" applyNumberFormat="1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/>
      <protection/>
    </xf>
    <xf numFmtId="39" fontId="2" fillId="33" borderId="15" xfId="0" applyNumberFormat="1" applyFont="1" applyFill="1" applyBorder="1" applyAlignment="1" applyProtection="1">
      <alignment/>
      <protection/>
    </xf>
    <xf numFmtId="43" fontId="2" fillId="33" borderId="15" xfId="47" applyFont="1" applyFill="1" applyBorder="1" applyAlignment="1">
      <alignment/>
    </xf>
    <xf numFmtId="9" fontId="2" fillId="33" borderId="16" xfId="54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3" fontId="2" fillId="33" borderId="11" xfId="47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43" fontId="2" fillId="33" borderId="15" xfId="47" applyFont="1" applyFill="1" applyBorder="1" applyAlignment="1" applyProtection="1">
      <alignment/>
      <protection/>
    </xf>
    <xf numFmtId="196" fontId="2" fillId="33" borderId="11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fill"/>
      <protection/>
    </xf>
    <xf numFmtId="187" fontId="4" fillId="33" borderId="19" xfId="0" applyNumberFormat="1" applyFont="1" applyFill="1" applyBorder="1" applyAlignment="1" applyProtection="1">
      <alignment horizontal="fill"/>
      <protection/>
    </xf>
    <xf numFmtId="0" fontId="2" fillId="33" borderId="19" xfId="0" applyFont="1" applyFill="1" applyBorder="1" applyAlignment="1" applyProtection="1">
      <alignment/>
      <protection locked="0"/>
    </xf>
    <xf numFmtId="190" fontId="2" fillId="33" borderId="19" xfId="0" applyNumberFormat="1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center"/>
      <protection/>
    </xf>
    <xf numFmtId="39" fontId="2" fillId="33" borderId="19" xfId="0" applyNumberFormat="1" applyFont="1" applyFill="1" applyBorder="1" applyAlignment="1" applyProtection="1">
      <alignment/>
      <protection/>
    </xf>
    <xf numFmtId="39" fontId="1" fillId="33" borderId="2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 applyProtection="1">
      <alignment horizontal="fill"/>
      <protection/>
    </xf>
    <xf numFmtId="0" fontId="3" fillId="33" borderId="0" xfId="0" applyFont="1" applyFill="1" applyBorder="1" applyAlignment="1" applyProtection="1">
      <alignment horizontal="center"/>
      <protection/>
    </xf>
    <xf numFmtId="39" fontId="2" fillId="33" borderId="0" xfId="0" applyNumberFormat="1" applyFont="1" applyFill="1" applyBorder="1" applyAlignment="1" applyProtection="1">
      <alignment/>
      <protection/>
    </xf>
    <xf numFmtId="187" fontId="2" fillId="33" borderId="12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/>
    </xf>
    <xf numFmtId="39" fontId="2" fillId="33" borderId="0" xfId="0" applyNumberFormat="1" applyFont="1" applyFill="1" applyAlignment="1" applyProtection="1">
      <alignment horizontal="center"/>
      <protection/>
    </xf>
    <xf numFmtId="188" fontId="4" fillId="33" borderId="0" xfId="0" applyNumberFormat="1" applyFont="1" applyFill="1" applyAlignment="1" applyProtection="1">
      <alignment horizontal="center"/>
      <protection/>
    </xf>
    <xf numFmtId="198" fontId="3" fillId="33" borderId="0" xfId="49" applyFont="1" applyFill="1" applyBorder="1" applyAlignment="1" applyProtection="1">
      <alignment/>
      <protection/>
    </xf>
    <xf numFmtId="187" fontId="2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0" fillId="33" borderId="10" xfId="0" applyFont="1" applyFill="1" applyBorder="1" applyAlignment="1" applyProtection="1">
      <alignment horizontal="left"/>
      <protection/>
    </xf>
    <xf numFmtId="0" fontId="50" fillId="33" borderId="0" xfId="0" applyFont="1" applyFill="1" applyBorder="1" applyAlignment="1">
      <alignment/>
    </xf>
    <xf numFmtId="187" fontId="50" fillId="33" borderId="0" xfId="0" applyNumberFormat="1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 horizontal="center"/>
      <protection locked="0"/>
    </xf>
    <xf numFmtId="190" fontId="50" fillId="33" borderId="11" xfId="0" applyNumberFormat="1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 horizontal="center"/>
      <protection/>
    </xf>
    <xf numFmtId="0" fontId="50" fillId="33" borderId="11" xfId="0" applyFont="1" applyFill="1" applyBorder="1" applyAlignment="1">
      <alignment horizontal="center"/>
    </xf>
    <xf numFmtId="9" fontId="2" fillId="33" borderId="0" xfId="54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>
      <alignment/>
    </xf>
    <xf numFmtId="9" fontId="51" fillId="33" borderId="0" xfId="54" applyFont="1" applyFill="1" applyBorder="1" applyAlignment="1">
      <alignment horizontal="center"/>
    </xf>
    <xf numFmtId="43" fontId="51" fillId="33" borderId="0" xfId="47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/>
      <protection/>
    </xf>
    <xf numFmtId="39" fontId="9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17" fontId="2" fillId="0" borderId="0" xfId="0" applyNumberFormat="1" applyFont="1" applyAlignment="1">
      <alignment/>
    </xf>
    <xf numFmtId="200" fontId="2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204" fontId="2" fillId="0" borderId="0" xfId="0" applyNumberFormat="1" applyFont="1" applyBorder="1" applyAlignment="1">
      <alignment/>
    </xf>
    <xf numFmtId="205" fontId="2" fillId="0" borderId="0" xfId="0" applyNumberFormat="1" applyFont="1" applyAlignment="1">
      <alignment/>
    </xf>
    <xf numFmtId="7" fontId="2" fillId="33" borderId="14" xfId="0" applyNumberFormat="1" applyFont="1" applyFill="1" applyBorder="1" applyAlignment="1" applyProtection="1">
      <alignment/>
      <protection/>
    </xf>
    <xf numFmtId="207" fontId="51" fillId="33" borderId="0" xfId="54" applyNumberFormat="1" applyFont="1" applyFill="1" applyBorder="1" applyAlignment="1">
      <alignment horizontal="center"/>
    </xf>
    <xf numFmtId="209" fontId="51" fillId="33" borderId="0" xfId="54" applyNumberFormat="1" applyFont="1" applyFill="1" applyBorder="1" applyAlignment="1">
      <alignment horizontal="center"/>
    </xf>
    <xf numFmtId="0" fontId="1" fillId="34" borderId="18" xfId="0" applyFont="1" applyFill="1" applyBorder="1" applyAlignment="1" applyProtection="1">
      <alignment horizontal="centerContinuous"/>
      <protection/>
    </xf>
    <xf numFmtId="0" fontId="1" fillId="34" borderId="19" xfId="0" applyFont="1" applyFill="1" applyBorder="1" applyAlignment="1">
      <alignment horizontal="centerContinuous"/>
    </xf>
    <xf numFmtId="39" fontId="1" fillId="34" borderId="21" xfId="0" applyNumberFormat="1" applyFont="1" applyFill="1" applyBorder="1" applyAlignment="1" applyProtection="1">
      <alignment horizontal="centerContinuous"/>
      <protection/>
    </xf>
    <xf numFmtId="0" fontId="2" fillId="34" borderId="22" xfId="0" applyFont="1" applyFill="1" applyBorder="1" applyAlignment="1" applyProtection="1">
      <alignment horizontal="fill"/>
      <protection/>
    </xf>
    <xf numFmtId="0" fontId="2" fillId="34" borderId="23" xfId="0" applyFont="1" applyFill="1" applyBorder="1" applyAlignment="1" applyProtection="1">
      <alignment horizontal="fill"/>
      <protection/>
    </xf>
    <xf numFmtId="0" fontId="2" fillId="34" borderId="24" xfId="0" applyFont="1" applyFill="1" applyBorder="1" applyAlignment="1" applyProtection="1">
      <alignment horizontal="fill"/>
      <protection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3" fillId="34" borderId="25" xfId="0" applyFont="1" applyFill="1" applyBorder="1" applyAlignment="1">
      <alignment horizontal="center"/>
    </xf>
    <xf numFmtId="0" fontId="13" fillId="34" borderId="25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13" fillId="34" borderId="11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fill"/>
      <protection/>
    </xf>
    <xf numFmtId="0" fontId="13" fillId="34" borderId="15" xfId="0" applyFont="1" applyFill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/>
      <protection/>
    </xf>
    <xf numFmtId="0" fontId="13" fillId="34" borderId="14" xfId="0" applyFont="1" applyFill="1" applyBorder="1" applyAlignment="1" applyProtection="1">
      <alignment horizontal="left"/>
      <protection/>
    </xf>
    <xf numFmtId="4" fontId="13" fillId="34" borderId="16" xfId="0" applyNumberFormat="1" applyFont="1" applyFill="1" applyBorder="1" applyAlignment="1" applyProtection="1">
      <alignment horizontal="right"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2" fillId="35" borderId="21" xfId="0" applyFont="1" applyFill="1" applyBorder="1" applyAlignment="1">
      <alignment/>
    </xf>
    <xf numFmtId="7" fontId="3" fillId="35" borderId="26" xfId="0" applyNumberFormat="1" applyFont="1" applyFill="1" applyBorder="1" applyAlignment="1" applyProtection="1">
      <alignment/>
      <protection/>
    </xf>
    <xf numFmtId="10" fontId="3" fillId="35" borderId="27" xfId="0" applyNumberFormat="1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 horizontal="left"/>
      <protection/>
    </xf>
    <xf numFmtId="0" fontId="3" fillId="35" borderId="21" xfId="0" applyFont="1" applyFill="1" applyBorder="1" applyAlignment="1">
      <alignment horizontal="center"/>
    </xf>
    <xf numFmtId="7" fontId="3" fillId="35" borderId="27" xfId="0" applyNumberFormat="1" applyFont="1" applyFill="1" applyBorder="1" applyAlignment="1" applyProtection="1">
      <alignment/>
      <protection/>
    </xf>
    <xf numFmtId="10" fontId="3" fillId="35" borderId="20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>
      <alignment/>
    </xf>
    <xf numFmtId="7" fontId="3" fillId="35" borderId="28" xfId="0" applyNumberFormat="1" applyFont="1" applyFill="1" applyBorder="1" applyAlignment="1" applyProtection="1">
      <alignment/>
      <protection/>
    </xf>
    <xf numFmtId="10" fontId="3" fillId="35" borderId="11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0" fontId="3" fillId="35" borderId="17" xfId="0" applyFont="1" applyFill="1" applyBorder="1" applyAlignment="1">
      <alignment horizontal="center"/>
    </xf>
    <xf numFmtId="7" fontId="3" fillId="35" borderId="11" xfId="0" applyNumberFormat="1" applyFont="1" applyFill="1" applyBorder="1" applyAlignment="1" applyProtection="1">
      <alignment/>
      <protection/>
    </xf>
    <xf numFmtId="10" fontId="3" fillId="35" borderId="12" xfId="0" applyNumberFormat="1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 horizontal="fill"/>
      <protection/>
    </xf>
    <xf numFmtId="0" fontId="2" fillId="35" borderId="29" xfId="0" applyFont="1" applyFill="1" applyBorder="1" applyAlignment="1" applyProtection="1">
      <alignment horizontal="fill"/>
      <protection/>
    </xf>
    <xf numFmtId="0" fontId="2" fillId="35" borderId="30" xfId="0" applyFont="1" applyFill="1" applyBorder="1" applyAlignment="1" applyProtection="1">
      <alignment horizontal="fill"/>
      <protection/>
    </xf>
    <xf numFmtId="0" fontId="2" fillId="35" borderId="15" xfId="0" applyFont="1" applyFill="1" applyBorder="1" applyAlignment="1" applyProtection="1">
      <alignment horizontal="fill"/>
      <protection/>
    </xf>
    <xf numFmtId="0" fontId="2" fillId="35" borderId="14" xfId="0" applyFont="1" applyFill="1" applyBorder="1" applyAlignment="1" applyProtection="1">
      <alignment horizontal="fill"/>
      <protection/>
    </xf>
    <xf numFmtId="0" fontId="3" fillId="35" borderId="29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fill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34" borderId="26" xfId="0" applyFont="1" applyFill="1" applyBorder="1" applyAlignment="1">
      <alignment horizontal="center" vertical="justify"/>
    </xf>
    <xf numFmtId="0" fontId="2" fillId="34" borderId="28" xfId="0" applyFont="1" applyFill="1" applyBorder="1" applyAlignment="1">
      <alignment horizontal="center" vertical="justify"/>
    </xf>
    <xf numFmtId="0" fontId="2" fillId="34" borderId="30" xfId="0" applyFont="1" applyFill="1" applyBorder="1" applyAlignment="1">
      <alignment horizontal="center" vertical="justify"/>
    </xf>
    <xf numFmtId="0" fontId="2" fillId="34" borderId="31" xfId="0" applyFont="1" applyFill="1" applyBorder="1" applyAlignment="1">
      <alignment horizontal="center" vertical="justify"/>
    </xf>
    <xf numFmtId="0" fontId="2" fillId="34" borderId="32" xfId="0" applyFont="1" applyFill="1" applyBorder="1" applyAlignment="1">
      <alignment horizontal="center" vertical="justify"/>
    </xf>
    <xf numFmtId="0" fontId="2" fillId="34" borderId="33" xfId="0" applyFont="1" applyFill="1" applyBorder="1" applyAlignment="1">
      <alignment horizontal="center" vertical="justify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  <xf numFmtId="217" fontId="52" fillId="33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94">
      <selection activeCell="I100" sqref="I100"/>
    </sheetView>
  </sheetViews>
  <sheetFormatPr defaultColWidth="11.00390625" defaultRowHeight="12.75"/>
  <cols>
    <col min="1" max="1" width="14.57421875" style="1" customWidth="1"/>
    <col min="2" max="2" width="10.7109375" style="1" customWidth="1"/>
    <col min="3" max="3" width="12.140625" style="1" customWidth="1"/>
    <col min="4" max="4" width="9.00390625" style="1" customWidth="1"/>
    <col min="5" max="5" width="7.140625" style="1" customWidth="1"/>
    <col min="6" max="6" width="7.421875" style="2" customWidth="1"/>
    <col min="7" max="7" width="9.57421875" style="1" customWidth="1"/>
    <col min="8" max="8" width="9.140625" style="1" customWidth="1"/>
    <col min="9" max="9" width="8.7109375" style="1" customWidth="1"/>
    <col min="10" max="10" width="9.57421875" style="3" customWidth="1"/>
    <col min="11" max="11" width="2.421875" style="1" customWidth="1"/>
    <col min="12" max="12" width="15.28125" style="1" bestFit="1" customWidth="1"/>
    <col min="13" max="13" width="4.57421875" style="1" customWidth="1"/>
    <col min="14" max="16" width="11.00390625" style="1" hidden="1" customWidth="1"/>
    <col min="17" max="16384" width="11.00390625" style="1" customWidth="1"/>
  </cols>
  <sheetData>
    <row r="1" spans="1:10" ht="33.75" customHeight="1">
      <c r="A1" s="161" t="s">
        <v>63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3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3.5">
      <c r="A3" s="17"/>
      <c r="B3" s="18"/>
      <c r="C3" s="14"/>
      <c r="D3" s="14"/>
      <c r="E3" s="14"/>
      <c r="F3" s="19"/>
      <c r="G3" s="14"/>
      <c r="H3" s="14"/>
      <c r="I3" s="14"/>
      <c r="J3" s="16"/>
    </row>
    <row r="4" spans="1:10" ht="13.5">
      <c r="A4" s="17" t="s">
        <v>0</v>
      </c>
      <c r="B4" s="20" t="s">
        <v>61</v>
      </c>
      <c r="C4" s="14"/>
      <c r="D4" s="14"/>
      <c r="E4" s="14"/>
      <c r="F4" s="21" t="s">
        <v>54</v>
      </c>
      <c r="G4" s="21"/>
      <c r="H4" s="14" t="s">
        <v>59</v>
      </c>
      <c r="I4" s="14"/>
      <c r="J4" s="22" t="s">
        <v>47</v>
      </c>
    </row>
    <row r="5" spans="1:10" ht="13.5">
      <c r="A5" s="17" t="s">
        <v>1</v>
      </c>
      <c r="B5" s="18" t="s">
        <v>64</v>
      </c>
      <c r="C5" s="14"/>
      <c r="D5" s="14"/>
      <c r="E5" s="14"/>
      <c r="F5" s="21" t="s">
        <v>55</v>
      </c>
      <c r="G5" s="21"/>
      <c r="H5" s="14" t="s">
        <v>59</v>
      </c>
      <c r="I5" s="14"/>
      <c r="J5" s="21" t="s">
        <v>48</v>
      </c>
    </row>
    <row r="6" spans="1:10" ht="13.5">
      <c r="A6" s="17"/>
      <c r="B6" s="18"/>
      <c r="C6" s="14"/>
      <c r="D6" s="14"/>
      <c r="E6" s="14"/>
      <c r="F6" s="21" t="s">
        <v>49</v>
      </c>
      <c r="G6" s="14"/>
      <c r="H6" s="14" t="s">
        <v>59</v>
      </c>
      <c r="I6" s="14"/>
      <c r="J6" s="10" t="s">
        <v>50</v>
      </c>
    </row>
    <row r="7" spans="1:10" ht="13.5">
      <c r="A7" s="10"/>
      <c r="B7" s="10"/>
      <c r="C7" s="10"/>
      <c r="D7" s="23" t="s">
        <v>40</v>
      </c>
      <c r="E7" s="14"/>
      <c r="F7" s="21"/>
      <c r="G7" s="21"/>
      <c r="H7" s="14"/>
      <c r="I7" s="14"/>
      <c r="J7" s="21"/>
    </row>
    <row r="8" spans="1:10" ht="13.5">
      <c r="A8" s="24" t="s">
        <v>2</v>
      </c>
      <c r="B8" s="25" t="s">
        <v>3</v>
      </c>
      <c r="C8" s="23" t="s">
        <v>37</v>
      </c>
      <c r="D8" s="23" t="s">
        <v>37</v>
      </c>
      <c r="E8" s="14"/>
      <c r="F8" s="21" t="s">
        <v>41</v>
      </c>
      <c r="G8" s="21"/>
      <c r="H8" s="14" t="s">
        <v>59</v>
      </c>
      <c r="I8" s="14"/>
      <c r="J8" s="21" t="s">
        <v>35</v>
      </c>
    </row>
    <row r="9" spans="1:10" ht="13.5">
      <c r="A9" s="14"/>
      <c r="B9" s="26"/>
      <c r="C9" s="14"/>
      <c r="D9" s="14"/>
      <c r="E9" s="14"/>
      <c r="F9" s="21" t="s">
        <v>42</v>
      </c>
      <c r="G9" s="21"/>
      <c r="H9" s="14" t="s">
        <v>59</v>
      </c>
      <c r="I9" s="14"/>
      <c r="J9" s="21" t="s">
        <v>51</v>
      </c>
    </row>
    <row r="10" spans="1:10" ht="19.5" customHeight="1">
      <c r="A10" s="27" t="s">
        <v>56</v>
      </c>
      <c r="B10" s="80">
        <v>3.84</v>
      </c>
      <c r="C10" s="81" t="s">
        <v>62</v>
      </c>
      <c r="D10" s="82">
        <f>+H101/B10</f>
        <v>1669.697422140241</v>
      </c>
      <c r="E10" s="14"/>
      <c r="F10" s="21" t="s">
        <v>43</v>
      </c>
      <c r="G10" s="21"/>
      <c r="H10" s="14" t="s">
        <v>59</v>
      </c>
      <c r="I10" s="14"/>
      <c r="J10" s="21" t="s">
        <v>36</v>
      </c>
    </row>
    <row r="11" spans="1:10" ht="13.5">
      <c r="A11" s="27"/>
      <c r="B11" s="14"/>
      <c r="C11" s="28"/>
      <c r="D11" s="29"/>
      <c r="E11" s="14"/>
      <c r="F11" s="21" t="s">
        <v>44</v>
      </c>
      <c r="G11" s="21"/>
      <c r="H11" s="14" t="s">
        <v>59</v>
      </c>
      <c r="I11" s="14"/>
      <c r="J11" s="21" t="s">
        <v>52</v>
      </c>
    </row>
    <row r="12" spans="1:10" ht="13.5">
      <c r="A12" s="14"/>
      <c r="B12" s="24"/>
      <c r="C12" s="30"/>
      <c r="D12" s="29"/>
      <c r="E12" s="14"/>
      <c r="F12" s="21" t="s">
        <v>45</v>
      </c>
      <c r="G12" s="21"/>
      <c r="H12" s="14" t="s">
        <v>59</v>
      </c>
      <c r="I12" s="14"/>
      <c r="J12" s="21" t="s">
        <v>36</v>
      </c>
    </row>
    <row r="13" spans="1:10" ht="15.75">
      <c r="A13" s="17" t="s">
        <v>4</v>
      </c>
      <c r="B13" s="31" t="s">
        <v>5</v>
      </c>
      <c r="C13" s="32" t="s">
        <v>34</v>
      </c>
      <c r="D13" s="33" t="s">
        <v>130</v>
      </c>
      <c r="E13" s="14"/>
      <c r="F13" s="21" t="s">
        <v>46</v>
      </c>
      <c r="G13" s="21"/>
      <c r="H13" s="14" t="s">
        <v>59</v>
      </c>
      <c r="I13" s="14"/>
      <c r="J13" s="21" t="s">
        <v>53</v>
      </c>
    </row>
    <row r="14" spans="1:10" ht="13.5">
      <c r="A14" s="85" t="s">
        <v>6</v>
      </c>
      <c r="B14" s="83">
        <v>500</v>
      </c>
      <c r="C14" s="14"/>
      <c r="D14" s="14"/>
      <c r="E14" s="14"/>
      <c r="F14" s="10"/>
      <c r="G14" s="14"/>
      <c r="H14" s="14"/>
      <c r="I14" s="21"/>
      <c r="J14" s="16"/>
    </row>
    <row r="15" spans="1:10" ht="7.5" customHeight="1" thickBot="1">
      <c r="A15" s="14"/>
      <c r="B15" s="14"/>
      <c r="C15" s="14"/>
      <c r="D15" s="14"/>
      <c r="E15" s="14"/>
      <c r="F15" s="10"/>
      <c r="G15" s="14"/>
      <c r="H15" s="14"/>
      <c r="I15" s="21"/>
      <c r="J15" s="16"/>
    </row>
    <row r="16" spans="1:10" s="5" customFormat="1" ht="15.75" customHeight="1">
      <c r="A16" s="111" t="s">
        <v>7</v>
      </c>
      <c r="B16" s="112"/>
      <c r="C16" s="112"/>
      <c r="D16" s="112"/>
      <c r="E16" s="112"/>
      <c r="F16" s="112"/>
      <c r="G16" s="112"/>
      <c r="H16" s="113"/>
      <c r="I16" s="155" t="s">
        <v>57</v>
      </c>
      <c r="J16" s="158" t="s">
        <v>58</v>
      </c>
    </row>
    <row r="17" spans="1:10" ht="3" customHeight="1">
      <c r="A17" s="114"/>
      <c r="B17" s="115"/>
      <c r="C17" s="115"/>
      <c r="D17" s="115"/>
      <c r="E17" s="115"/>
      <c r="F17" s="115"/>
      <c r="G17" s="115"/>
      <c r="H17" s="116"/>
      <c r="I17" s="156"/>
      <c r="J17" s="159"/>
    </row>
    <row r="18" spans="1:10" s="6" customFormat="1" ht="12" customHeight="1">
      <c r="A18" s="117"/>
      <c r="B18" s="118"/>
      <c r="C18" s="118"/>
      <c r="D18" s="119"/>
      <c r="E18" s="119"/>
      <c r="F18" s="119"/>
      <c r="G18" s="120" t="s">
        <v>38</v>
      </c>
      <c r="H18" s="120" t="s">
        <v>8</v>
      </c>
      <c r="I18" s="156"/>
      <c r="J18" s="159"/>
    </row>
    <row r="19" spans="1:10" s="6" customFormat="1" ht="11.25" customHeight="1">
      <c r="A19" s="121" t="s">
        <v>9</v>
      </c>
      <c r="B19" s="118"/>
      <c r="C19" s="118"/>
      <c r="D19" s="122" t="s">
        <v>10</v>
      </c>
      <c r="E19" s="122" t="s">
        <v>39</v>
      </c>
      <c r="F19" s="122" t="s">
        <v>11</v>
      </c>
      <c r="G19" s="122" t="s">
        <v>37</v>
      </c>
      <c r="H19" s="122" t="s">
        <v>12</v>
      </c>
      <c r="I19" s="156"/>
      <c r="J19" s="159"/>
    </row>
    <row r="20" spans="1:10" s="6" customFormat="1" ht="6" customHeight="1" thickBot="1">
      <c r="A20" s="123"/>
      <c r="B20" s="124"/>
      <c r="C20" s="124"/>
      <c r="D20" s="125"/>
      <c r="E20" s="125"/>
      <c r="F20" s="125"/>
      <c r="G20" s="125"/>
      <c r="H20" s="125"/>
      <c r="I20" s="157"/>
      <c r="J20" s="160"/>
    </row>
    <row r="21" spans="1:10" ht="13.5">
      <c r="A21" s="34" t="s">
        <v>13</v>
      </c>
      <c r="B21" s="35"/>
      <c r="C21" s="35"/>
      <c r="D21" s="36"/>
      <c r="E21" s="37"/>
      <c r="F21" s="38"/>
      <c r="G21" s="39"/>
      <c r="H21" s="39"/>
      <c r="I21" s="36"/>
      <c r="J21" s="40"/>
    </row>
    <row r="22" spans="1:10" ht="12.75">
      <c r="A22" s="41" t="s">
        <v>72</v>
      </c>
      <c r="B22" s="35"/>
      <c r="C22" s="42"/>
      <c r="D22" s="43"/>
      <c r="E22" s="37">
        <v>0.19</v>
      </c>
      <c r="F22" s="44" t="s">
        <v>14</v>
      </c>
      <c r="G22" s="39">
        <v>2900</v>
      </c>
      <c r="H22" s="39">
        <f>IF(E22*G22,+E22*G22,"        ")</f>
        <v>551</v>
      </c>
      <c r="I22" s="45">
        <f aca="true" t="shared" si="0" ref="I22:I28">E22/B$10</f>
        <v>0.04947916666666667</v>
      </c>
      <c r="J22" s="40">
        <f aca="true" t="shared" si="1" ref="J22:J40">H22/H$101</f>
        <v>0.0859374767132397</v>
      </c>
    </row>
    <row r="23" spans="1:10" s="9" customFormat="1" ht="12.75">
      <c r="A23" s="41" t="s">
        <v>73</v>
      </c>
      <c r="B23" s="35"/>
      <c r="C23" s="42"/>
      <c r="D23" s="43"/>
      <c r="E23" s="37">
        <v>0.2149</v>
      </c>
      <c r="F23" s="44" t="s">
        <v>14</v>
      </c>
      <c r="G23" s="39">
        <v>1324.6</v>
      </c>
      <c r="H23" s="39">
        <f aca="true" t="shared" si="2" ref="H23:H40">IF(E23*G23,+E23*G23,"        ")</f>
        <v>284.65654</v>
      </c>
      <c r="I23" s="45">
        <f t="shared" si="0"/>
        <v>0.05596354166666667</v>
      </c>
      <c r="J23" s="40">
        <f t="shared" si="1"/>
        <v>0.04439685077590088</v>
      </c>
    </row>
    <row r="24" spans="1:10" s="9" customFormat="1" ht="12.75">
      <c r="A24" s="88" t="s">
        <v>74</v>
      </c>
      <c r="B24" s="89"/>
      <c r="C24" s="90"/>
      <c r="D24" s="91"/>
      <c r="E24" s="92">
        <v>0.3186</v>
      </c>
      <c r="F24" s="93" t="s">
        <v>14</v>
      </c>
      <c r="G24" s="39">
        <v>1210</v>
      </c>
      <c r="H24" s="39">
        <f>IF(E24*G24,+E24*G24,"        ")</f>
        <v>385.506</v>
      </c>
      <c r="I24" s="45">
        <f t="shared" si="0"/>
        <v>0.08296875000000001</v>
      </c>
      <c r="J24" s="40">
        <f t="shared" si="1"/>
        <v>0.06012597622107837</v>
      </c>
    </row>
    <row r="25" spans="1:10" s="9" customFormat="1" ht="12.75">
      <c r="A25" s="88" t="s">
        <v>75</v>
      </c>
      <c r="B25" s="89"/>
      <c r="C25" s="90"/>
      <c r="D25" s="91"/>
      <c r="E25" s="92">
        <v>0.231</v>
      </c>
      <c r="F25" s="93" t="s">
        <v>14</v>
      </c>
      <c r="G25" s="39">
        <v>715</v>
      </c>
      <c r="H25" s="39">
        <f t="shared" si="2"/>
        <v>165.16500000000002</v>
      </c>
      <c r="I25" s="45">
        <f t="shared" si="0"/>
        <v>0.06015625000000001</v>
      </c>
      <c r="J25" s="40">
        <f t="shared" si="1"/>
        <v>0.025760187552345257</v>
      </c>
    </row>
    <row r="26" spans="1:10" s="9" customFormat="1" ht="12.75">
      <c r="A26" s="88" t="s">
        <v>76</v>
      </c>
      <c r="B26" s="89"/>
      <c r="C26" s="90"/>
      <c r="D26" s="91"/>
      <c r="E26" s="37">
        <f>14.14/48.63</f>
        <v>0.2907670162451162</v>
      </c>
      <c r="F26" s="44" t="s">
        <v>14</v>
      </c>
      <c r="G26" s="46">
        <v>1248</v>
      </c>
      <c r="H26" s="39">
        <f t="shared" si="2"/>
        <v>362.877236273905</v>
      </c>
      <c r="I26" s="45">
        <f t="shared" si="0"/>
        <v>0.07572057714716568</v>
      </c>
      <c r="J26" s="40">
        <f t="shared" si="1"/>
        <v>0.05659664980408982</v>
      </c>
    </row>
    <row r="27" spans="1:10" s="9" customFormat="1" ht="12.75">
      <c r="A27" s="88" t="s">
        <v>77</v>
      </c>
      <c r="B27" s="89"/>
      <c r="C27" s="90"/>
      <c r="D27" s="91"/>
      <c r="E27" s="37">
        <f>3.67/50.04</f>
        <v>0.07334132693844925</v>
      </c>
      <c r="F27" s="44" t="s">
        <v>15</v>
      </c>
      <c r="G27" s="39">
        <v>373</v>
      </c>
      <c r="H27" s="39">
        <f t="shared" si="2"/>
        <v>27.356314948041568</v>
      </c>
      <c r="I27" s="45">
        <f t="shared" si="0"/>
        <v>0.01909930389022116</v>
      </c>
      <c r="J27" s="40">
        <f t="shared" si="1"/>
        <v>0.004266665478779262</v>
      </c>
    </row>
    <row r="28" spans="1:10" s="9" customFormat="1" ht="12.75">
      <c r="A28" s="88" t="s">
        <v>78</v>
      </c>
      <c r="B28" s="89"/>
      <c r="C28" s="90"/>
      <c r="D28" s="91"/>
      <c r="E28" s="37">
        <f>2.82/45.82</f>
        <v>0.06154517677869925</v>
      </c>
      <c r="F28" s="44" t="s">
        <v>16</v>
      </c>
      <c r="G28" s="39">
        <v>1108.4</v>
      </c>
      <c r="H28" s="39">
        <f t="shared" si="2"/>
        <v>68.21667394151025</v>
      </c>
      <c r="I28" s="45">
        <f t="shared" si="0"/>
        <v>0.016027389786119596</v>
      </c>
      <c r="J28" s="40">
        <f t="shared" si="1"/>
        <v>0.010639507855359715</v>
      </c>
    </row>
    <row r="29" spans="1:10" s="9" customFormat="1" ht="12.75">
      <c r="A29" s="88" t="s">
        <v>79</v>
      </c>
      <c r="B29" s="89"/>
      <c r="C29" s="90"/>
      <c r="D29" s="91"/>
      <c r="E29" s="37">
        <f>2.88/48.84</f>
        <v>0.05896805896805896</v>
      </c>
      <c r="F29" s="44" t="s">
        <v>16</v>
      </c>
      <c r="G29" s="39">
        <v>1347.6666666666667</v>
      </c>
      <c r="H29" s="39">
        <f t="shared" si="2"/>
        <v>79.46928746928747</v>
      </c>
      <c r="I29" s="45">
        <f aca="true" t="shared" si="3" ref="I29:I40">E29/B$10</f>
        <v>0.015356265356265355</v>
      </c>
      <c r="J29" s="40">
        <f t="shared" si="1"/>
        <v>0.012394537280053798</v>
      </c>
    </row>
    <row r="30" spans="1:10" s="9" customFormat="1" ht="12.75">
      <c r="A30" s="88" t="s">
        <v>80</v>
      </c>
      <c r="B30" s="89"/>
      <c r="C30" s="90"/>
      <c r="D30" s="91"/>
      <c r="E30" s="37">
        <f>1.89/48.92</f>
        <v>0.03863450531479967</v>
      </c>
      <c r="F30" s="44" t="s">
        <v>15</v>
      </c>
      <c r="G30" s="39">
        <v>870</v>
      </c>
      <c r="H30" s="39">
        <f t="shared" si="2"/>
        <v>33.61201962387572</v>
      </c>
      <c r="I30" s="45">
        <f t="shared" si="3"/>
        <v>0.010061069092395748</v>
      </c>
      <c r="J30" s="40">
        <f t="shared" si="1"/>
        <v>0.005242345106554946</v>
      </c>
    </row>
    <row r="31" spans="1:10" s="9" customFormat="1" ht="12.75">
      <c r="A31" s="88" t="s">
        <v>81</v>
      </c>
      <c r="B31" s="89"/>
      <c r="C31" s="90"/>
      <c r="D31" s="91"/>
      <c r="E31" s="37">
        <f>1.53/49.92</f>
        <v>0.03064903846153846</v>
      </c>
      <c r="F31" s="44" t="s">
        <v>16</v>
      </c>
      <c r="G31" s="39">
        <v>490</v>
      </c>
      <c r="H31" s="39">
        <f t="shared" si="2"/>
        <v>15.018028846153845</v>
      </c>
      <c r="I31" s="45">
        <f t="shared" si="3"/>
        <v>0.007981520432692308</v>
      </c>
      <c r="J31" s="40">
        <f t="shared" si="1"/>
        <v>0.0023423076302089077</v>
      </c>
    </row>
    <row r="32" spans="1:10" s="9" customFormat="1" ht="12.75">
      <c r="A32" s="88" t="s">
        <v>82</v>
      </c>
      <c r="B32" s="89"/>
      <c r="C32" s="90"/>
      <c r="D32" s="91"/>
      <c r="E32" s="37">
        <f>0.88/51.48</f>
        <v>0.017094017094017096</v>
      </c>
      <c r="F32" s="44" t="s">
        <v>15</v>
      </c>
      <c r="G32" s="39">
        <v>770</v>
      </c>
      <c r="H32" s="39">
        <f t="shared" si="2"/>
        <v>13.162393162393164</v>
      </c>
      <c r="I32" s="45">
        <f t="shared" si="3"/>
        <v>0.0044515669515669525</v>
      </c>
      <c r="J32" s="40">
        <f t="shared" si="1"/>
        <v>0.002052890845523898</v>
      </c>
    </row>
    <row r="33" spans="1:10" s="9" customFormat="1" ht="12.75">
      <c r="A33" s="88" t="s">
        <v>83</v>
      </c>
      <c r="B33" s="89"/>
      <c r="C33" s="90"/>
      <c r="D33" s="91"/>
      <c r="E33" s="37">
        <f>2.72/50.6</f>
        <v>0.05375494071146245</v>
      </c>
      <c r="F33" s="44" t="s">
        <v>16</v>
      </c>
      <c r="G33" s="39">
        <v>1350</v>
      </c>
      <c r="H33" s="39">
        <f t="shared" si="2"/>
        <v>72.56916996047431</v>
      </c>
      <c r="I33" s="45">
        <f t="shared" si="3"/>
        <v>0.013998682476943348</v>
      </c>
      <c r="J33" s="40">
        <f t="shared" si="1"/>
        <v>0.011318350913933567</v>
      </c>
    </row>
    <row r="34" spans="1:10" s="9" customFormat="1" ht="12.75">
      <c r="A34" s="88" t="s">
        <v>84</v>
      </c>
      <c r="B34" s="89"/>
      <c r="C34" s="90"/>
      <c r="D34" s="91"/>
      <c r="E34" s="37">
        <f>3.57/43.11</f>
        <v>0.08281141266527488</v>
      </c>
      <c r="F34" s="44" t="s">
        <v>16</v>
      </c>
      <c r="G34" s="39">
        <v>262</v>
      </c>
      <c r="H34" s="39">
        <f t="shared" si="2"/>
        <v>21.69659011830202</v>
      </c>
      <c r="I34" s="45">
        <f t="shared" si="3"/>
        <v>0.021565472048248668</v>
      </c>
      <c r="J34" s="40">
        <f t="shared" si="1"/>
        <v>0.003383938671593986</v>
      </c>
    </row>
    <row r="35" spans="1:10" s="9" customFormat="1" ht="12.75">
      <c r="A35" s="88" t="s">
        <v>85</v>
      </c>
      <c r="B35" s="89"/>
      <c r="C35" s="90"/>
      <c r="D35" s="91"/>
      <c r="E35" s="37">
        <f>3.38/49.2</f>
        <v>0.06869918699186991</v>
      </c>
      <c r="F35" s="44" t="s">
        <v>16</v>
      </c>
      <c r="G35" s="39">
        <v>2000</v>
      </c>
      <c r="H35" s="39">
        <f t="shared" si="2"/>
        <v>137.39837398373982</v>
      </c>
      <c r="I35" s="45">
        <f t="shared" si="3"/>
        <v>0.01789041327913279</v>
      </c>
      <c r="J35" s="40">
        <f t="shared" si="1"/>
        <v>0.021429527340589182</v>
      </c>
    </row>
    <row r="36" spans="1:10" s="8" customFormat="1" ht="12.75">
      <c r="A36" s="41" t="s">
        <v>86</v>
      </c>
      <c r="B36" s="35"/>
      <c r="C36" s="42"/>
      <c r="D36" s="43"/>
      <c r="E36" s="37">
        <f>6.73/44.76</f>
        <v>0.15035746201966044</v>
      </c>
      <c r="F36" s="44" t="s">
        <v>16</v>
      </c>
      <c r="G36" s="39">
        <v>393.87499999999994</v>
      </c>
      <c r="H36" s="39">
        <f t="shared" si="2"/>
        <v>59.222045352993746</v>
      </c>
      <c r="I36" s="45">
        <f t="shared" si="3"/>
        <v>0.03915558906761991</v>
      </c>
      <c r="J36" s="40">
        <f t="shared" si="1"/>
        <v>0.009236648173200229</v>
      </c>
    </row>
    <row r="37" spans="1:10" s="8" customFormat="1" ht="12.75">
      <c r="A37" s="88" t="s">
        <v>87</v>
      </c>
      <c r="B37" s="89"/>
      <c r="C37" s="90"/>
      <c r="D37" s="91"/>
      <c r="E37" s="37">
        <v>0.0296</v>
      </c>
      <c r="F37" s="44" t="s">
        <v>16</v>
      </c>
      <c r="G37" s="39">
        <v>800</v>
      </c>
      <c r="H37" s="39">
        <f t="shared" si="2"/>
        <v>23.68</v>
      </c>
      <c r="I37" s="45">
        <f t="shared" si="3"/>
        <v>0.0077083333333333335</v>
      </c>
      <c r="J37" s="40">
        <f t="shared" si="1"/>
        <v>0.0036932839356978516</v>
      </c>
    </row>
    <row r="38" spans="1:10" s="8" customFormat="1" ht="12.75">
      <c r="A38" s="88" t="s">
        <v>88</v>
      </c>
      <c r="B38" s="89"/>
      <c r="C38" s="90"/>
      <c r="D38" s="91"/>
      <c r="E38" s="37">
        <v>0.0472</v>
      </c>
      <c r="F38" s="44" t="s">
        <v>15</v>
      </c>
      <c r="G38" s="39">
        <v>510</v>
      </c>
      <c r="H38" s="39">
        <f t="shared" si="2"/>
        <v>24.072</v>
      </c>
      <c r="I38" s="45">
        <f t="shared" si="3"/>
        <v>0.012291666666666666</v>
      </c>
      <c r="J38" s="40">
        <f t="shared" si="1"/>
        <v>0.003754422757606363</v>
      </c>
    </row>
    <row r="39" spans="1:10" s="8" customFormat="1" ht="12.75">
      <c r="A39" s="88" t="s">
        <v>89</v>
      </c>
      <c r="B39" s="89"/>
      <c r="C39" s="90"/>
      <c r="D39" s="91"/>
      <c r="E39" s="37">
        <v>1</v>
      </c>
      <c r="F39" s="44" t="s">
        <v>17</v>
      </c>
      <c r="G39" s="39">
        <v>150</v>
      </c>
      <c r="H39" s="39">
        <f t="shared" si="2"/>
        <v>150</v>
      </c>
      <c r="I39" s="45">
        <f t="shared" si="3"/>
        <v>0.2604166666666667</v>
      </c>
      <c r="J39" s="40">
        <f t="shared" si="1"/>
        <v>0.023394957362950917</v>
      </c>
    </row>
    <row r="40" spans="1:10" s="8" customFormat="1" ht="12.75">
      <c r="A40" s="41" t="s">
        <v>90</v>
      </c>
      <c r="B40" s="35"/>
      <c r="C40" s="89"/>
      <c r="D40" s="94"/>
      <c r="E40" s="37">
        <v>1</v>
      </c>
      <c r="F40" s="44" t="s">
        <v>17</v>
      </c>
      <c r="G40" s="39">
        <f>+(7.08333333333333)*5</f>
        <v>35.416666666666664</v>
      </c>
      <c r="H40" s="39">
        <f t="shared" si="2"/>
        <v>35.416666666666664</v>
      </c>
      <c r="I40" s="45">
        <f t="shared" si="3"/>
        <v>0.2604166666666667</v>
      </c>
      <c r="J40" s="40">
        <f t="shared" si="1"/>
        <v>0.005523809377363411</v>
      </c>
    </row>
    <row r="41" spans="1:12" ht="13.5">
      <c r="A41" s="34" t="s">
        <v>18</v>
      </c>
      <c r="B41" s="35"/>
      <c r="C41" s="48"/>
      <c r="D41" s="47"/>
      <c r="E41" s="37"/>
      <c r="F41" s="38"/>
      <c r="G41" s="39"/>
      <c r="H41" s="39"/>
      <c r="I41" s="45"/>
      <c r="J41" s="40"/>
      <c r="L41" s="7"/>
    </row>
    <row r="42" spans="1:10" ht="15.75" customHeight="1">
      <c r="A42" s="41" t="s">
        <v>94</v>
      </c>
      <c r="B42" s="35"/>
      <c r="C42" s="35"/>
      <c r="D42" s="47"/>
      <c r="E42" s="37">
        <v>0.05</v>
      </c>
      <c r="F42" s="44" t="s">
        <v>17</v>
      </c>
      <c r="G42" s="39">
        <v>500</v>
      </c>
      <c r="H42" s="39">
        <f>IF(E42*G42,+E42*G42,"        ")</f>
        <v>25</v>
      </c>
      <c r="I42" s="45">
        <f>E42/B$10</f>
        <v>0.013020833333333334</v>
      </c>
      <c r="J42" s="40">
        <f>H42/H$101</f>
        <v>0.0038991595604918193</v>
      </c>
    </row>
    <row r="43" spans="1:10" ht="15.75" customHeight="1">
      <c r="A43" s="41" t="s">
        <v>95</v>
      </c>
      <c r="B43" s="35"/>
      <c r="C43" s="35"/>
      <c r="D43" s="47"/>
      <c r="E43" s="37">
        <v>0.05</v>
      </c>
      <c r="F43" s="44" t="s">
        <v>17</v>
      </c>
      <c r="G43" s="39">
        <v>225</v>
      </c>
      <c r="H43" s="39">
        <f>IF(E43*G43,+E43*G43,"        ")</f>
        <v>11.25</v>
      </c>
      <c r="I43" s="45">
        <f>E43/B$10</f>
        <v>0.013020833333333334</v>
      </c>
      <c r="J43" s="40">
        <f>H43/H$101</f>
        <v>0.0017546218022213187</v>
      </c>
    </row>
    <row r="44" spans="1:10" ht="15.75" customHeight="1">
      <c r="A44" s="41" t="s">
        <v>96</v>
      </c>
      <c r="B44" s="35"/>
      <c r="C44" s="35"/>
      <c r="D44" s="47"/>
      <c r="E44" s="37">
        <v>0.05</v>
      </c>
      <c r="F44" s="44" t="s">
        <v>19</v>
      </c>
      <c r="G44" s="39">
        <v>150</v>
      </c>
      <c r="H44" s="39">
        <f>IF(E44*G44,+E44*G44,"        ")</f>
        <v>7.5</v>
      </c>
      <c r="I44" s="45">
        <f>E44/B$10</f>
        <v>0.013020833333333334</v>
      </c>
      <c r="J44" s="40">
        <f>H44/H$101</f>
        <v>0.0011697478681475459</v>
      </c>
    </row>
    <row r="45" spans="1:12" ht="15.75" customHeight="1">
      <c r="A45" s="41" t="s">
        <v>97</v>
      </c>
      <c r="B45" s="35"/>
      <c r="C45" s="35"/>
      <c r="D45" s="47" t="s">
        <v>20</v>
      </c>
      <c r="E45" s="37">
        <v>0.0275</v>
      </c>
      <c r="F45" s="44" t="s">
        <v>19</v>
      </c>
      <c r="G45" s="39">
        <f>+B$14</f>
        <v>500</v>
      </c>
      <c r="H45" s="39">
        <f>IF(E45*G45,+E45*G45,"        ")</f>
        <v>13.75</v>
      </c>
      <c r="I45" s="45">
        <f>E45/B$10</f>
        <v>0.007161458333333334</v>
      </c>
      <c r="J45" s="40">
        <f>H45/H$101</f>
        <v>0.002144537758270501</v>
      </c>
      <c r="L45" s="103"/>
    </row>
    <row r="46" spans="1:12" ht="15.75" customHeight="1">
      <c r="A46" s="41" t="s">
        <v>98</v>
      </c>
      <c r="B46" s="35"/>
      <c r="C46" s="35"/>
      <c r="D46" s="47"/>
      <c r="E46" s="37">
        <v>0.0601</v>
      </c>
      <c r="F46" s="44" t="s">
        <v>19</v>
      </c>
      <c r="G46" s="39">
        <f>+B$14</f>
        <v>500</v>
      </c>
      <c r="H46" s="39">
        <f>IF(E46*G46,+E46*G46,"        ")</f>
        <v>30.05</v>
      </c>
      <c r="I46" s="45">
        <f>E46/B$10</f>
        <v>0.015651041666666667</v>
      </c>
      <c r="J46" s="40">
        <f>H46/H$101</f>
        <v>0.004686789791711167</v>
      </c>
      <c r="L46" s="103"/>
    </row>
    <row r="47" spans="1:10" ht="15.75" customHeight="1">
      <c r="A47" s="41" t="s">
        <v>91</v>
      </c>
      <c r="B47" s="35"/>
      <c r="C47" s="48"/>
      <c r="D47" s="47"/>
      <c r="E47" s="37"/>
      <c r="F47" s="44"/>
      <c r="G47" s="39"/>
      <c r="H47" s="39"/>
      <c r="I47" s="45"/>
      <c r="J47" s="40"/>
    </row>
    <row r="48" spans="1:10" ht="12.75">
      <c r="A48" s="41" t="s">
        <v>99</v>
      </c>
      <c r="B48" s="35"/>
      <c r="C48" s="48"/>
      <c r="D48" s="47"/>
      <c r="E48" s="37">
        <v>0.0625</v>
      </c>
      <c r="F48" s="44" t="s">
        <v>19</v>
      </c>
      <c r="G48" s="39">
        <f>+B14</f>
        <v>500</v>
      </c>
      <c r="H48" s="39">
        <f>IF(E48*G48,+E48*G48,"        ")</f>
        <v>31.25</v>
      </c>
      <c r="I48" s="45">
        <f>E48/B$10</f>
        <v>0.016276041666666668</v>
      </c>
      <c r="J48" s="40">
        <f>H48/H$101</f>
        <v>0.0048739494506147745</v>
      </c>
    </row>
    <row r="49" spans="1:10" ht="12.75">
      <c r="A49" s="41" t="s">
        <v>100</v>
      </c>
      <c r="B49" s="35"/>
      <c r="C49" s="58"/>
      <c r="D49" s="47"/>
      <c r="E49" s="37"/>
      <c r="F49" s="44"/>
      <c r="G49" s="39"/>
      <c r="H49" s="39"/>
      <c r="I49" s="45"/>
      <c r="J49" s="40"/>
    </row>
    <row r="50" spans="1:10" ht="9" customHeight="1">
      <c r="A50" s="41"/>
      <c r="B50" s="35"/>
      <c r="C50" s="35"/>
      <c r="D50" s="47"/>
      <c r="E50" s="37"/>
      <c r="F50" s="49"/>
      <c r="G50" s="39"/>
      <c r="H50" s="39"/>
      <c r="I50" s="45"/>
      <c r="J50" s="40"/>
    </row>
    <row r="51" spans="1:10" ht="12.75">
      <c r="A51" s="41" t="s">
        <v>92</v>
      </c>
      <c r="B51" s="35"/>
      <c r="C51" s="48"/>
      <c r="D51" s="47"/>
      <c r="E51" s="37"/>
      <c r="F51" s="47"/>
      <c r="G51" s="39"/>
      <c r="H51" s="39"/>
      <c r="I51" s="59"/>
      <c r="J51" s="40"/>
    </row>
    <row r="52" spans="1:11" ht="12.75">
      <c r="A52" s="41" t="s">
        <v>101</v>
      </c>
      <c r="B52" s="35"/>
      <c r="C52" s="48"/>
      <c r="D52" s="47"/>
      <c r="E52" s="37">
        <v>0.075</v>
      </c>
      <c r="F52" s="44" t="s">
        <v>19</v>
      </c>
      <c r="G52" s="39">
        <f>+B$14</f>
        <v>500</v>
      </c>
      <c r="H52" s="39">
        <f>IF(E52*G52,+E52*G52,"        ")</f>
        <v>37.5</v>
      </c>
      <c r="I52" s="45">
        <f>E52/B$10</f>
        <v>0.01953125</v>
      </c>
      <c r="J52" s="40">
        <f>H52/H$101</f>
        <v>0.005848739340737729</v>
      </c>
      <c r="K52" s="104"/>
    </row>
    <row r="53" spans="1:10" ht="12.75">
      <c r="A53" s="41" t="s">
        <v>102</v>
      </c>
      <c r="B53" s="35"/>
      <c r="C53" s="58"/>
      <c r="D53" s="47"/>
      <c r="E53" s="37"/>
      <c r="F53" s="44"/>
      <c r="G53" s="39"/>
      <c r="H53" s="39"/>
      <c r="I53" s="45"/>
      <c r="J53" s="40"/>
    </row>
    <row r="54" spans="1:10" ht="6.75" customHeight="1">
      <c r="A54" s="41"/>
      <c r="B54" s="35"/>
      <c r="C54" s="35"/>
      <c r="D54" s="47"/>
      <c r="E54" s="37"/>
      <c r="F54" s="49"/>
      <c r="G54" s="39"/>
      <c r="H54" s="39"/>
      <c r="I54" s="45"/>
      <c r="J54" s="40"/>
    </row>
    <row r="55" spans="1:10" ht="12.75">
      <c r="A55" s="41" t="s">
        <v>93</v>
      </c>
      <c r="B55" s="35"/>
      <c r="C55" s="48"/>
      <c r="D55" s="47"/>
      <c r="E55" s="37">
        <v>0.0838</v>
      </c>
      <c r="F55" s="47" t="s">
        <v>19</v>
      </c>
      <c r="G55" s="39">
        <f>+B$14</f>
        <v>500</v>
      </c>
      <c r="H55" s="39">
        <f>IF(E55*G55,+E55*G55,"        ")</f>
        <v>41.9</v>
      </c>
      <c r="I55" s="59">
        <f>E55/B$10</f>
        <v>0.021822916666666668</v>
      </c>
      <c r="J55" s="40">
        <f>H55/H$101</f>
        <v>0.006534991423384289</v>
      </c>
    </row>
    <row r="56" spans="1:10" ht="7.5" customHeight="1">
      <c r="A56" s="41"/>
      <c r="B56" s="35"/>
      <c r="C56" s="48"/>
      <c r="D56" s="47"/>
      <c r="E56" s="37"/>
      <c r="F56" s="44"/>
      <c r="G56" s="39"/>
      <c r="H56" s="39"/>
      <c r="I56" s="45"/>
      <c r="J56" s="40"/>
    </row>
    <row r="57" spans="1:10" ht="13.5" thickBot="1">
      <c r="A57" s="50" t="s">
        <v>103</v>
      </c>
      <c r="B57" s="51"/>
      <c r="C57" s="108"/>
      <c r="D57" s="52"/>
      <c r="E57" s="53">
        <v>0.11</v>
      </c>
      <c r="F57" s="52" t="s">
        <v>19</v>
      </c>
      <c r="G57" s="55">
        <f>+B$14</f>
        <v>500</v>
      </c>
      <c r="H57" s="55">
        <f>IF(E57*G57,+E57*G57,"        ")</f>
        <v>55</v>
      </c>
      <c r="I57" s="61">
        <f>E57/B$10</f>
        <v>0.028645833333333336</v>
      </c>
      <c r="J57" s="57">
        <f>H57/H$101</f>
        <v>0.008578151033082003</v>
      </c>
    </row>
    <row r="58" spans="1:10" s="7" customFormat="1" ht="28.5" customHeight="1">
      <c r="A58" s="153" t="s">
        <v>126</v>
      </c>
      <c r="B58" s="153"/>
      <c r="C58" s="153"/>
      <c r="D58" s="153"/>
      <c r="E58" s="153"/>
      <c r="F58" s="153"/>
      <c r="G58" s="153"/>
      <c r="H58" s="153"/>
      <c r="I58" s="153"/>
      <c r="J58" s="153"/>
    </row>
    <row r="59" spans="1:10" ht="12.75">
      <c r="A59" s="41"/>
      <c r="B59" s="35"/>
      <c r="C59" s="35"/>
      <c r="D59" s="47"/>
      <c r="E59" s="37"/>
      <c r="F59" s="44"/>
      <c r="G59" s="39"/>
      <c r="H59" s="39"/>
      <c r="I59" s="45"/>
      <c r="J59" s="40"/>
    </row>
    <row r="60" spans="1:10" ht="12.75">
      <c r="A60" s="102" t="s">
        <v>21</v>
      </c>
      <c r="B60" s="35"/>
      <c r="C60" s="48"/>
      <c r="D60" s="47"/>
      <c r="E60" s="37"/>
      <c r="F60" s="47"/>
      <c r="G60" s="39"/>
      <c r="H60" s="39"/>
      <c r="I60" s="59"/>
      <c r="J60" s="40"/>
    </row>
    <row r="61" spans="1:18" ht="15.75" customHeight="1">
      <c r="A61" s="41" t="s">
        <v>94</v>
      </c>
      <c r="B61" s="35"/>
      <c r="C61" s="58"/>
      <c r="D61" s="47"/>
      <c r="E61" s="37">
        <v>1</v>
      </c>
      <c r="F61" s="44" t="s">
        <v>17</v>
      </c>
      <c r="G61" s="39">
        <v>500</v>
      </c>
      <c r="H61" s="39">
        <f>IF(E61*G61,+E61*G61,"        ")</f>
        <v>500</v>
      </c>
      <c r="I61" s="45">
        <f>E61/B$10</f>
        <v>0.2604166666666667</v>
      </c>
      <c r="J61" s="40">
        <f>H61/H$101</f>
        <v>0.07798319120983639</v>
      </c>
      <c r="L61" s="7"/>
      <c r="M61" s="7"/>
      <c r="N61" s="7"/>
      <c r="O61" s="7"/>
      <c r="P61" s="7"/>
      <c r="Q61" s="7"/>
      <c r="R61" s="7"/>
    </row>
    <row r="62" spans="1:18" ht="15.75" customHeight="1">
      <c r="A62" s="41" t="s">
        <v>95</v>
      </c>
      <c r="B62" s="35"/>
      <c r="C62" s="35"/>
      <c r="D62" s="47"/>
      <c r="E62" s="37">
        <v>1</v>
      </c>
      <c r="F62" s="49" t="s">
        <v>17</v>
      </c>
      <c r="G62" s="39">
        <v>225</v>
      </c>
      <c r="H62" s="39">
        <f>IF(E62*G62,+E62*G62,"        ")</f>
        <v>225</v>
      </c>
      <c r="I62" s="45">
        <f>E62/B$10</f>
        <v>0.2604166666666667</v>
      </c>
      <c r="J62" s="40">
        <f>H62/H$101</f>
        <v>0.03509243604442638</v>
      </c>
      <c r="L62" s="7"/>
      <c r="M62" s="7"/>
      <c r="N62" s="7"/>
      <c r="O62" s="7"/>
      <c r="P62" s="7"/>
      <c r="Q62" s="7"/>
      <c r="R62" s="7"/>
    </row>
    <row r="63" spans="1:18" ht="15.75" customHeight="1">
      <c r="A63" s="41" t="s">
        <v>96</v>
      </c>
      <c r="B63" s="35"/>
      <c r="C63" s="48"/>
      <c r="D63" s="47"/>
      <c r="E63" s="37">
        <v>1</v>
      </c>
      <c r="F63" s="49" t="s">
        <v>17</v>
      </c>
      <c r="G63" s="39">
        <v>150</v>
      </c>
      <c r="H63" s="39">
        <f>IF(E63*G63,+E63*G63,"        ")</f>
        <v>150</v>
      </c>
      <c r="I63" s="59">
        <f>E63/B$10</f>
        <v>0.2604166666666667</v>
      </c>
      <c r="J63" s="40">
        <f>H63/H$101</f>
        <v>0.023394957362950917</v>
      </c>
      <c r="L63" s="7"/>
      <c r="M63" s="7"/>
      <c r="N63" s="7"/>
      <c r="O63" s="7"/>
      <c r="P63" s="7"/>
      <c r="Q63" s="7"/>
      <c r="R63" s="7"/>
    </row>
    <row r="64" spans="1:18" ht="12.75">
      <c r="A64" s="41" t="s">
        <v>104</v>
      </c>
      <c r="B64" s="35"/>
      <c r="C64" s="48"/>
      <c r="D64" s="47" t="s">
        <v>22</v>
      </c>
      <c r="E64" s="37">
        <v>1.1262</v>
      </c>
      <c r="F64" s="44" t="s">
        <v>19</v>
      </c>
      <c r="G64" s="39">
        <f>+B$14</f>
        <v>500</v>
      </c>
      <c r="H64" s="39">
        <f>IF(E64*G64,+E64*G64,"        ")</f>
        <v>563.1</v>
      </c>
      <c r="I64" s="45">
        <f>E64/B$10</f>
        <v>0.29328125000000005</v>
      </c>
      <c r="J64" s="40">
        <f>H64/H$101</f>
        <v>0.08782466994051774</v>
      </c>
      <c r="K64" s="104"/>
      <c r="L64" s="7"/>
      <c r="M64" s="7"/>
      <c r="N64" s="7"/>
      <c r="O64" s="7"/>
      <c r="P64" s="7"/>
      <c r="Q64" s="7"/>
      <c r="R64" s="7"/>
    </row>
    <row r="65" spans="1:18" ht="12.75">
      <c r="A65" s="41" t="s">
        <v>105</v>
      </c>
      <c r="B65" s="35"/>
      <c r="C65" s="58"/>
      <c r="D65" s="47"/>
      <c r="E65" s="37">
        <v>0.1125</v>
      </c>
      <c r="F65" s="44" t="s">
        <v>19</v>
      </c>
      <c r="G65" s="39">
        <f>+B$14</f>
        <v>500</v>
      </c>
      <c r="H65" s="39">
        <f>IF(E65*G65,+E65*G65,"        ")</f>
        <v>56.25</v>
      </c>
      <c r="I65" s="45">
        <f>E65/B$10</f>
        <v>0.029296875000000003</v>
      </c>
      <c r="J65" s="40">
        <f>H65/H$101</f>
        <v>0.008773109011106594</v>
      </c>
      <c r="L65" s="7"/>
      <c r="M65" s="7"/>
      <c r="N65" s="7"/>
      <c r="O65" s="7"/>
      <c r="P65" s="7"/>
      <c r="Q65" s="7"/>
      <c r="R65" s="7"/>
    </row>
    <row r="66" spans="1:18" ht="6.75" customHeight="1">
      <c r="A66" s="60"/>
      <c r="B66" s="35"/>
      <c r="C66" s="35"/>
      <c r="D66" s="47"/>
      <c r="E66" s="36"/>
      <c r="F66" s="38"/>
      <c r="G66" s="39"/>
      <c r="H66" s="39"/>
      <c r="I66" s="45"/>
      <c r="J66" s="40"/>
      <c r="L66" s="7"/>
      <c r="M66" s="7"/>
      <c r="N66" s="7"/>
      <c r="O66" s="7"/>
      <c r="P66" s="7"/>
      <c r="Q66" s="7"/>
      <c r="R66" s="7"/>
    </row>
    <row r="67" spans="1:10" ht="12.75">
      <c r="A67" s="41" t="s">
        <v>106</v>
      </c>
      <c r="B67" s="35"/>
      <c r="C67" s="48"/>
      <c r="D67" s="47"/>
      <c r="E67" s="37"/>
      <c r="F67" s="47"/>
      <c r="G67" s="39"/>
      <c r="H67" s="39"/>
      <c r="I67" s="59"/>
      <c r="J67" s="40"/>
    </row>
    <row r="68" spans="1:10" ht="13.5">
      <c r="A68" s="41" t="s">
        <v>99</v>
      </c>
      <c r="B68" s="35"/>
      <c r="C68" s="35"/>
      <c r="D68" s="47"/>
      <c r="E68" s="37">
        <v>0.05</v>
      </c>
      <c r="F68" s="49" t="s">
        <v>19</v>
      </c>
      <c r="G68" s="39">
        <f>+B$14</f>
        <v>500</v>
      </c>
      <c r="H68" s="39">
        <f>IF(E68*G68,+E68*G68,"        ")</f>
        <v>25</v>
      </c>
      <c r="I68" s="45">
        <f>E68/B$10</f>
        <v>0.013020833333333334</v>
      </c>
      <c r="J68" s="40">
        <f>H68/H$101</f>
        <v>0.0038991595604918193</v>
      </c>
    </row>
    <row r="69" spans="1:10" ht="13.5">
      <c r="A69" s="41" t="s">
        <v>107</v>
      </c>
      <c r="B69" s="35"/>
      <c r="C69" s="48"/>
      <c r="D69" s="47"/>
      <c r="E69" s="37"/>
      <c r="F69" s="49"/>
      <c r="G69" s="39"/>
      <c r="H69" s="39"/>
      <c r="I69" s="59"/>
      <c r="J69" s="40"/>
    </row>
    <row r="70" spans="1:10" ht="14.25" customHeight="1">
      <c r="A70" s="41"/>
      <c r="B70" s="35"/>
      <c r="C70" s="48"/>
      <c r="D70" s="47"/>
      <c r="E70" s="37"/>
      <c r="F70" s="44"/>
      <c r="G70" s="39"/>
      <c r="H70" s="39"/>
      <c r="I70" s="45"/>
      <c r="J70" s="40"/>
    </row>
    <row r="71" spans="1:10" ht="12.75">
      <c r="A71" s="41" t="s">
        <v>108</v>
      </c>
      <c r="B71" s="35"/>
      <c r="C71" s="58"/>
      <c r="D71" s="47" t="s">
        <v>23</v>
      </c>
      <c r="E71" s="37"/>
      <c r="F71" s="44"/>
      <c r="G71" s="39"/>
      <c r="H71" s="39"/>
      <c r="I71" s="45"/>
      <c r="J71" s="40"/>
    </row>
    <row r="72" spans="1:10" ht="13.5">
      <c r="A72" s="60" t="s">
        <v>109</v>
      </c>
      <c r="B72" s="35"/>
      <c r="C72" s="35"/>
      <c r="D72" s="47"/>
      <c r="E72" s="36">
        <v>0.1362</v>
      </c>
      <c r="F72" s="38" t="s">
        <v>19</v>
      </c>
      <c r="G72" s="39">
        <f>+B$14</f>
        <v>500</v>
      </c>
      <c r="H72" s="39">
        <f>IF(E72*G72,+E72*G72,"        ")</f>
        <v>68.1</v>
      </c>
      <c r="I72" s="45">
        <f>E72/B$10</f>
        <v>0.03546875</v>
      </c>
      <c r="J72" s="40">
        <f>H72/H$101</f>
        <v>0.010621310642779715</v>
      </c>
    </row>
    <row r="73" spans="1:10" ht="15.75" customHeight="1">
      <c r="A73" s="41" t="s">
        <v>110</v>
      </c>
      <c r="B73" s="35"/>
      <c r="C73" s="48"/>
      <c r="D73" s="47"/>
      <c r="E73" s="37"/>
      <c r="F73" s="47"/>
      <c r="G73" s="39"/>
      <c r="H73" s="39"/>
      <c r="I73" s="59"/>
      <c r="J73" s="40"/>
    </row>
    <row r="74" spans="1:10" ht="13.5">
      <c r="A74" s="41" t="s">
        <v>111</v>
      </c>
      <c r="B74" s="35"/>
      <c r="C74" s="35"/>
      <c r="D74" s="47"/>
      <c r="E74" s="37"/>
      <c r="F74" s="49"/>
      <c r="G74" s="39"/>
      <c r="H74" s="39"/>
      <c r="I74" s="45"/>
      <c r="J74" s="40"/>
    </row>
    <row r="75" spans="1:10" ht="13.5">
      <c r="A75" s="41" t="s">
        <v>101</v>
      </c>
      <c r="B75" s="35"/>
      <c r="C75" s="48"/>
      <c r="D75" s="47"/>
      <c r="E75" s="37">
        <v>0.075</v>
      </c>
      <c r="F75" s="49" t="s">
        <v>19</v>
      </c>
      <c r="G75" s="39">
        <f>+B$14</f>
        <v>500</v>
      </c>
      <c r="H75" s="39">
        <f>IF(E75*G75,+E75*G75,"        ")</f>
        <v>37.5</v>
      </c>
      <c r="I75" s="59">
        <f>E75/B$10</f>
        <v>0.01953125</v>
      </c>
      <c r="J75" s="40">
        <f>H75/H$101</f>
        <v>0.005848739340737729</v>
      </c>
    </row>
    <row r="76" spans="1:10" ht="12.75">
      <c r="A76" s="41" t="s">
        <v>102</v>
      </c>
      <c r="B76" s="35"/>
      <c r="C76" s="48"/>
      <c r="D76" s="47"/>
      <c r="E76" s="37"/>
      <c r="F76" s="44"/>
      <c r="G76" s="39"/>
      <c r="H76" s="39"/>
      <c r="I76" s="45"/>
      <c r="J76" s="40"/>
    </row>
    <row r="77" spans="1:10" ht="12.75">
      <c r="A77" s="41" t="s">
        <v>112</v>
      </c>
      <c r="B77" s="35"/>
      <c r="C77" s="58"/>
      <c r="D77" s="47"/>
      <c r="E77" s="37">
        <v>0.0988</v>
      </c>
      <c r="F77" s="44" t="s">
        <v>19</v>
      </c>
      <c r="G77" s="39">
        <f>+B$14</f>
        <v>500</v>
      </c>
      <c r="H77" s="39">
        <f>IF(E77*G77,+E77*G77,"        ")</f>
        <v>49.4</v>
      </c>
      <c r="I77" s="45">
        <f>E77/B$10</f>
        <v>0.025729166666666668</v>
      </c>
      <c r="J77" s="40">
        <f>H77/H$101</f>
        <v>0.0077047392915318355</v>
      </c>
    </row>
    <row r="78" spans="1:10" ht="13.5">
      <c r="A78" s="60" t="s">
        <v>113</v>
      </c>
      <c r="B78" s="35"/>
      <c r="C78" s="35"/>
      <c r="D78" s="47"/>
      <c r="E78" s="36">
        <v>0.7937</v>
      </c>
      <c r="F78" s="38" t="s">
        <v>19</v>
      </c>
      <c r="G78" s="39">
        <f>+B$14</f>
        <v>500</v>
      </c>
      <c r="H78" s="39">
        <f>IF(E78*G78,+E78*G78,"        ")</f>
        <v>396.84999999999997</v>
      </c>
      <c r="I78" s="45">
        <f>E78/B$10</f>
        <v>0.20669270833333334</v>
      </c>
      <c r="J78" s="40">
        <f>H78/H$101</f>
        <v>0.061895258863247135</v>
      </c>
    </row>
    <row r="79" spans="1:10" ht="12.75">
      <c r="A79" s="41" t="s">
        <v>114</v>
      </c>
      <c r="B79" s="35"/>
      <c r="C79" s="48"/>
      <c r="D79" s="47"/>
      <c r="E79" s="37"/>
      <c r="F79" s="47"/>
      <c r="G79" s="39"/>
      <c r="H79" s="39"/>
      <c r="I79" s="59"/>
      <c r="J79" s="40"/>
    </row>
    <row r="80" spans="1:10" ht="13.5">
      <c r="A80" s="41" t="s">
        <v>99</v>
      </c>
      <c r="B80" s="35"/>
      <c r="C80" s="35"/>
      <c r="D80" s="47"/>
      <c r="E80" s="37">
        <v>0.05</v>
      </c>
      <c r="F80" s="49" t="s">
        <v>19</v>
      </c>
      <c r="G80" s="39">
        <f>+B$14</f>
        <v>500</v>
      </c>
      <c r="H80" s="39">
        <f>IF(E80*G80,+E80*G80,"        ")</f>
        <v>25</v>
      </c>
      <c r="I80" s="45">
        <f>E80/B$10</f>
        <v>0.013020833333333334</v>
      </c>
      <c r="J80" s="40">
        <f>H80/H$101</f>
        <v>0.0038991595604918193</v>
      </c>
    </row>
    <row r="81" spans="1:10" ht="13.5">
      <c r="A81" s="41" t="s">
        <v>24</v>
      </c>
      <c r="B81" s="35"/>
      <c r="C81" s="35"/>
      <c r="D81" s="44"/>
      <c r="E81" s="37"/>
      <c r="F81" s="49"/>
      <c r="G81" s="39"/>
      <c r="H81" s="39"/>
      <c r="I81" s="45"/>
      <c r="J81" s="40"/>
    </row>
    <row r="82" spans="1:10" ht="13.5">
      <c r="A82" s="41" t="s">
        <v>115</v>
      </c>
      <c r="B82" s="35"/>
      <c r="C82" s="35"/>
      <c r="D82" s="44" t="s">
        <v>25</v>
      </c>
      <c r="E82" s="37">
        <v>0.0988</v>
      </c>
      <c r="F82" s="49" t="s">
        <v>19</v>
      </c>
      <c r="G82" s="39">
        <f>+B$14</f>
        <v>500</v>
      </c>
      <c r="H82" s="39">
        <f>IF(E82*G82,+E82*G82,"        ")</f>
        <v>49.4</v>
      </c>
      <c r="I82" s="45">
        <f>E82/B$10</f>
        <v>0.025729166666666668</v>
      </c>
      <c r="J82" s="40">
        <f>H82/H$101</f>
        <v>0.0077047392915318355</v>
      </c>
    </row>
    <row r="83" spans="1:10" ht="13.5">
      <c r="A83" s="41" t="s">
        <v>116</v>
      </c>
      <c r="B83" s="35"/>
      <c r="C83" s="35"/>
      <c r="D83" s="47"/>
      <c r="E83" s="37">
        <v>0.7275</v>
      </c>
      <c r="F83" s="49" t="s">
        <v>19</v>
      </c>
      <c r="G83" s="39">
        <f>+B$14</f>
        <v>500</v>
      </c>
      <c r="H83" s="39">
        <f>IF(E83*G83,+E83*G83,"        ")</f>
        <v>363.75</v>
      </c>
      <c r="I83" s="45">
        <f>E83/B$10</f>
        <v>0.18945312500000003</v>
      </c>
      <c r="J83" s="40">
        <f>H83/H$101</f>
        <v>0.056732771605155975</v>
      </c>
    </row>
    <row r="84" spans="1:10" ht="9" customHeight="1">
      <c r="A84" s="60"/>
      <c r="B84" s="35"/>
      <c r="C84" s="35"/>
      <c r="D84" s="47"/>
      <c r="E84" s="36"/>
      <c r="F84" s="38"/>
      <c r="G84" s="36"/>
      <c r="H84" s="36"/>
      <c r="I84" s="45"/>
      <c r="J84" s="40"/>
    </row>
    <row r="85" spans="1:10" ht="12.75">
      <c r="A85" s="41" t="s">
        <v>117</v>
      </c>
      <c r="B85" s="35"/>
      <c r="C85" s="35"/>
      <c r="D85" s="47"/>
      <c r="E85" s="36"/>
      <c r="F85" s="47"/>
      <c r="G85" s="36"/>
      <c r="H85" s="36"/>
      <c r="I85" s="59"/>
      <c r="J85" s="40"/>
    </row>
    <row r="86" spans="1:10" ht="12.75">
      <c r="A86" s="41" t="s">
        <v>118</v>
      </c>
      <c r="B86" s="35"/>
      <c r="C86" s="35"/>
      <c r="D86" s="47"/>
      <c r="E86" s="37">
        <v>0.0513</v>
      </c>
      <c r="F86" s="44" t="s">
        <v>19</v>
      </c>
      <c r="G86" s="39">
        <f>+B$14</f>
        <v>500</v>
      </c>
      <c r="H86" s="39">
        <f>IF(E86*G86,+E86*G86,"        ")</f>
        <v>25.65</v>
      </c>
      <c r="I86" s="45">
        <f>E86/B$10</f>
        <v>0.013359375</v>
      </c>
      <c r="J86" s="40">
        <f>H86/H$101</f>
        <v>0.004000537709064607</v>
      </c>
    </row>
    <row r="87" spans="1:10" ht="9" customHeight="1">
      <c r="A87" s="41"/>
      <c r="B87" s="35"/>
      <c r="C87" s="35"/>
      <c r="D87" s="47"/>
      <c r="E87" s="37"/>
      <c r="F87" s="49"/>
      <c r="G87" s="39"/>
      <c r="H87" s="39"/>
      <c r="I87" s="45"/>
      <c r="J87" s="40"/>
    </row>
    <row r="88" spans="1:10" ht="12.75">
      <c r="A88" s="60" t="s">
        <v>119</v>
      </c>
      <c r="B88" s="35"/>
      <c r="C88" s="35"/>
      <c r="D88" s="47"/>
      <c r="E88" s="62"/>
      <c r="F88" s="47"/>
      <c r="G88" s="39"/>
      <c r="H88" s="39"/>
      <c r="I88" s="59"/>
      <c r="J88" s="40"/>
    </row>
    <row r="89" spans="1:10" ht="12.75">
      <c r="A89" s="60" t="s">
        <v>120</v>
      </c>
      <c r="B89" s="35"/>
      <c r="C89" s="35"/>
      <c r="D89" s="47"/>
      <c r="E89" s="36">
        <v>0.0513</v>
      </c>
      <c r="F89" s="44" t="s">
        <v>19</v>
      </c>
      <c r="G89" s="39">
        <f>+B$14</f>
        <v>500</v>
      </c>
      <c r="H89" s="39">
        <f>IF(E89*G89,+E89*G89,"        ")</f>
        <v>25.65</v>
      </c>
      <c r="I89" s="45">
        <f>E89/B$10</f>
        <v>0.013359375</v>
      </c>
      <c r="J89" s="40">
        <f>H89/H$101</f>
        <v>0.004000537709064607</v>
      </c>
    </row>
    <row r="90" spans="1:10" ht="12.75">
      <c r="A90" s="41" t="s">
        <v>121</v>
      </c>
      <c r="B90" s="35"/>
      <c r="C90" s="35"/>
      <c r="D90" s="47"/>
      <c r="E90" s="36"/>
      <c r="F90" s="47"/>
      <c r="G90" s="36"/>
      <c r="H90" s="36"/>
      <c r="I90" s="59"/>
      <c r="J90" s="40"/>
    </row>
    <row r="91" spans="1:10" ht="12.75">
      <c r="A91" s="41" t="s">
        <v>122</v>
      </c>
      <c r="B91" s="35"/>
      <c r="C91" s="58"/>
      <c r="D91" s="63"/>
      <c r="E91" s="37">
        <v>0.0513</v>
      </c>
      <c r="F91" s="44" t="s">
        <v>19</v>
      </c>
      <c r="G91" s="39">
        <f>+B$14</f>
        <v>500</v>
      </c>
      <c r="H91" s="39">
        <f>IF(E91*G91,+E91*G91,"        ")</f>
        <v>25.65</v>
      </c>
      <c r="I91" s="45">
        <f>E91/B$10</f>
        <v>0.013359375</v>
      </c>
      <c r="J91" s="40">
        <f>H91/H$101</f>
        <v>0.004000537709064607</v>
      </c>
    </row>
    <row r="92" spans="1:10" ht="16.5" customHeight="1">
      <c r="A92" s="60" t="s">
        <v>123</v>
      </c>
      <c r="B92" s="35"/>
      <c r="C92" s="35"/>
      <c r="D92" s="47"/>
      <c r="E92" s="37">
        <v>0.05</v>
      </c>
      <c r="F92" s="44" t="s">
        <v>19</v>
      </c>
      <c r="G92" s="39">
        <f>+B$14</f>
        <v>500</v>
      </c>
      <c r="H92" s="39">
        <f>IF(E92*G92,+E92*G92,"        ")</f>
        <v>25</v>
      </c>
      <c r="I92" s="45">
        <f>E92/B$10</f>
        <v>0.013020833333333334</v>
      </c>
      <c r="J92" s="40">
        <f>H92/H$101</f>
        <v>0.0038991595604918193</v>
      </c>
    </row>
    <row r="93" spans="1:10" ht="12.75">
      <c r="A93" s="41" t="s">
        <v>124</v>
      </c>
      <c r="B93" s="35"/>
      <c r="C93" s="35"/>
      <c r="D93" s="44" t="s">
        <v>26</v>
      </c>
      <c r="E93" s="37">
        <v>1</v>
      </c>
      <c r="F93" s="44" t="s">
        <v>17</v>
      </c>
      <c r="G93" s="39">
        <f>+B$14</f>
        <v>500</v>
      </c>
      <c r="H93" s="39">
        <f>IF(E93*G93,+E93*G93,"        ")</f>
        <v>500</v>
      </c>
      <c r="I93" s="45">
        <f>E93/B$10</f>
        <v>0.2604166666666667</v>
      </c>
      <c r="J93" s="40">
        <f>H93/H$101</f>
        <v>0.07798319120983639</v>
      </c>
    </row>
    <row r="94" spans="1:10" ht="14.25" thickBot="1">
      <c r="A94" s="50" t="s">
        <v>125</v>
      </c>
      <c r="B94" s="51"/>
      <c r="C94" s="51"/>
      <c r="D94" s="52"/>
      <c r="E94" s="53">
        <v>0.4175</v>
      </c>
      <c r="F94" s="54" t="s">
        <v>19</v>
      </c>
      <c r="G94" s="55">
        <f>+B$14</f>
        <v>500</v>
      </c>
      <c r="H94" s="55">
        <f>IF(E94*G94,+E94*G94,"        ")</f>
        <v>208.75</v>
      </c>
      <c r="I94" s="56">
        <f>E94/B$10</f>
        <v>0.10872395833333333</v>
      </c>
      <c r="J94" s="57">
        <f>H94/H$101</f>
        <v>0.03255798233010669</v>
      </c>
    </row>
    <row r="95" spans="1:10" s="7" customFormat="1" ht="13.5">
      <c r="A95" s="74"/>
      <c r="B95" s="74"/>
      <c r="C95" s="74"/>
      <c r="D95" s="96"/>
      <c r="E95" s="74"/>
      <c r="F95" s="75"/>
      <c r="G95" s="74"/>
      <c r="H95" s="74"/>
      <c r="I95" s="35"/>
      <c r="J95" s="95"/>
    </row>
    <row r="96" spans="1:10" s="7" customFormat="1" ht="28.5" customHeight="1" thickBot="1">
      <c r="A96" s="153" t="s">
        <v>127</v>
      </c>
      <c r="B96" s="153"/>
      <c r="C96" s="153"/>
      <c r="D96" s="153"/>
      <c r="E96" s="153"/>
      <c r="F96" s="153"/>
      <c r="G96" s="153"/>
      <c r="H96" s="153"/>
      <c r="I96" s="153"/>
      <c r="J96" s="153"/>
    </row>
    <row r="97" spans="1:11" ht="15" customHeight="1">
      <c r="A97" s="64" t="s">
        <v>27</v>
      </c>
      <c r="B97" s="65"/>
      <c r="C97" s="66"/>
      <c r="D97" s="67"/>
      <c r="E97" s="68"/>
      <c r="F97" s="69"/>
      <c r="G97" s="70"/>
      <c r="H97" s="71">
        <f>SUM(H21:H94)</f>
        <v>6083.344340347342</v>
      </c>
      <c r="I97" s="35"/>
      <c r="J97" s="98"/>
      <c r="K97" s="87"/>
    </row>
    <row r="98" spans="1:11" ht="14.25" customHeight="1">
      <c r="A98" s="41" t="s">
        <v>60</v>
      </c>
      <c r="B98" s="72"/>
      <c r="C98" s="73"/>
      <c r="D98" s="74"/>
      <c r="E98" s="74"/>
      <c r="F98" s="75"/>
      <c r="G98" s="76"/>
      <c r="H98" s="77">
        <f>(H97*0.02)</f>
        <v>121.66688680694685</v>
      </c>
      <c r="I98" s="35"/>
      <c r="J98" s="98"/>
      <c r="K98" s="87"/>
    </row>
    <row r="99" spans="1:11" ht="14.25" customHeight="1">
      <c r="A99" s="41" t="s">
        <v>28</v>
      </c>
      <c r="B99" s="72"/>
      <c r="C99" s="73"/>
      <c r="D99" s="74"/>
      <c r="E99" s="74"/>
      <c r="F99" s="75"/>
      <c r="G99" s="76"/>
      <c r="H99" s="78">
        <v>0</v>
      </c>
      <c r="I99" s="35"/>
      <c r="J99" s="98"/>
      <c r="K99" s="87"/>
    </row>
    <row r="100" spans="1:11" ht="14.25" customHeight="1">
      <c r="A100" s="41" t="s">
        <v>129</v>
      </c>
      <c r="B100" s="72"/>
      <c r="C100" s="72"/>
      <c r="D100" s="35"/>
      <c r="E100" s="35"/>
      <c r="F100" s="79"/>
      <c r="G100" s="35"/>
      <c r="H100" s="78">
        <f>SUM(H97:H99)*0.0333</f>
        <v>206.62687386423784</v>
      </c>
      <c r="I100" s="165">
        <f>+H100+H98</f>
        <v>328.2937606711847</v>
      </c>
      <c r="J100" s="99"/>
      <c r="K100" s="87"/>
    </row>
    <row r="101" spans="1:11" ht="14.25" customHeight="1" thickBot="1">
      <c r="A101" s="126" t="s">
        <v>29</v>
      </c>
      <c r="B101" s="127"/>
      <c r="C101" s="127"/>
      <c r="D101" s="127"/>
      <c r="E101" s="127"/>
      <c r="F101" s="127"/>
      <c r="G101" s="127"/>
      <c r="H101" s="128">
        <f>SUM(H97:H100)</f>
        <v>6411.638101018526</v>
      </c>
      <c r="I101" s="35"/>
      <c r="J101" s="110"/>
      <c r="K101" s="87"/>
    </row>
    <row r="102" spans="1:11" s="7" customFormat="1" ht="15" customHeight="1">
      <c r="A102" s="100"/>
      <c r="B102" s="73"/>
      <c r="C102" s="73"/>
      <c r="D102" s="74"/>
      <c r="E102" s="74"/>
      <c r="F102" s="75"/>
      <c r="G102" s="76"/>
      <c r="H102" s="101">
        <f>SUM(H98:H100)</f>
        <v>328.2937606711847</v>
      </c>
      <c r="I102" s="97"/>
      <c r="J102" s="109"/>
      <c r="K102" s="86"/>
    </row>
    <row r="103" spans="1:12" s="7" customFormat="1" ht="11.25" customHeight="1" thickBot="1">
      <c r="A103" s="74"/>
      <c r="B103" s="74"/>
      <c r="C103" s="74"/>
      <c r="D103" s="74"/>
      <c r="E103" s="74"/>
      <c r="F103" s="75"/>
      <c r="G103" s="74"/>
      <c r="H103" s="74"/>
      <c r="I103" s="35"/>
      <c r="J103" s="95"/>
      <c r="L103" s="106"/>
    </row>
    <row r="104" spans="1:12" ht="19.5" customHeight="1">
      <c r="A104" s="129" t="s">
        <v>30</v>
      </c>
      <c r="B104" s="130"/>
      <c r="C104" s="131">
        <f>SUM(H42:H55)</f>
        <v>198.20000000000002</v>
      </c>
      <c r="D104" s="132">
        <f>(C104/H97)</f>
        <v>0.032580762967082566</v>
      </c>
      <c r="E104" s="133" t="s">
        <v>31</v>
      </c>
      <c r="F104" s="134"/>
      <c r="G104" s="135">
        <f>SUM(H64:H94)++H57</f>
        <v>2500.05</v>
      </c>
      <c r="H104" s="136">
        <f>(G104/H97)</f>
        <v>0.41096637969654276</v>
      </c>
      <c r="I104" s="35"/>
      <c r="J104" s="95"/>
      <c r="L104" s="105"/>
    </row>
    <row r="105" spans="1:12" ht="15.75" customHeight="1">
      <c r="A105" s="137" t="s">
        <v>32</v>
      </c>
      <c r="B105" s="138"/>
      <c r="C105" s="139">
        <f>SUM(H61:H63)</f>
        <v>875</v>
      </c>
      <c r="D105" s="140">
        <f>ROUND((C105/H97),7)</f>
        <v>0.1438354</v>
      </c>
      <c r="E105" s="141" t="s">
        <v>33</v>
      </c>
      <c r="F105" s="142"/>
      <c r="G105" s="143">
        <f>SUM(H22:H40)</f>
        <v>2510.094340347343</v>
      </c>
      <c r="H105" s="144">
        <f>(G105/H97)</f>
        <v>0.41261750114970863</v>
      </c>
      <c r="I105" s="35"/>
      <c r="J105" s="95"/>
      <c r="L105" s="107"/>
    </row>
    <row r="106" spans="1:10" ht="4.5" customHeight="1" thickBot="1">
      <c r="A106" s="145"/>
      <c r="B106" s="146"/>
      <c r="C106" s="147"/>
      <c r="D106" s="148"/>
      <c r="E106" s="149"/>
      <c r="F106" s="150"/>
      <c r="G106" s="148"/>
      <c r="H106" s="151"/>
      <c r="I106" s="7"/>
      <c r="J106" s="95"/>
    </row>
    <row r="107" spans="1:10" ht="13.5" customHeight="1">
      <c r="A107" s="162" t="s">
        <v>67</v>
      </c>
      <c r="B107" s="162"/>
      <c r="C107" s="162"/>
      <c r="D107" s="162"/>
      <c r="E107" s="162"/>
      <c r="F107" s="162"/>
      <c r="G107" s="162"/>
      <c r="H107" s="162"/>
      <c r="I107" s="162"/>
      <c r="J107" s="162"/>
    </row>
    <row r="108" spans="1:10" ht="13.5" customHeight="1">
      <c r="A108" s="84" t="s">
        <v>71</v>
      </c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ht="37.5" customHeight="1">
      <c r="A109" s="164" t="s">
        <v>131</v>
      </c>
      <c r="B109" s="164"/>
      <c r="C109" s="164"/>
      <c r="D109" s="164"/>
      <c r="E109" s="164"/>
      <c r="F109" s="164"/>
      <c r="G109" s="164"/>
      <c r="H109" s="164"/>
      <c r="I109" s="164"/>
      <c r="J109" s="164"/>
    </row>
    <row r="110" spans="1:10" s="4" customFormat="1" ht="15" customHeight="1">
      <c r="A110" s="162" t="s">
        <v>68</v>
      </c>
      <c r="B110" s="162"/>
      <c r="C110" s="162"/>
      <c r="D110" s="162"/>
      <c r="E110" s="162"/>
      <c r="F110" s="162"/>
      <c r="G110" s="162"/>
      <c r="H110" s="162"/>
      <c r="I110" s="162"/>
      <c r="J110" s="162"/>
    </row>
    <row r="111" spans="1:10" s="4" customFormat="1" ht="15" customHeight="1">
      <c r="A111" s="163" t="s">
        <v>65</v>
      </c>
      <c r="B111" s="163"/>
      <c r="C111" s="163"/>
      <c r="D111" s="163"/>
      <c r="E111" s="163"/>
      <c r="F111" s="163"/>
      <c r="G111" s="163"/>
      <c r="H111" s="163"/>
      <c r="I111" s="163"/>
      <c r="J111" s="163"/>
    </row>
    <row r="112" spans="1:10" s="4" customFormat="1" ht="15" customHeight="1">
      <c r="A112" s="10" t="s">
        <v>66</v>
      </c>
      <c r="B112" s="10"/>
      <c r="C112" s="11"/>
      <c r="D112" s="12"/>
      <c r="E112" s="10"/>
      <c r="F112" s="10"/>
      <c r="G112" s="11"/>
      <c r="H112" s="12"/>
      <c r="I112" s="13"/>
      <c r="J112" s="10"/>
    </row>
    <row r="113" spans="1:10" s="4" customFormat="1" ht="15" customHeight="1">
      <c r="A113" s="10" t="s">
        <v>70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s="4" customFormat="1" ht="15" customHeight="1">
      <c r="A114" s="10" t="s">
        <v>69</v>
      </c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14"/>
      <c r="B115" s="14"/>
      <c r="C115" s="14"/>
      <c r="D115" s="15"/>
      <c r="E115" s="15"/>
      <c r="F115" s="15"/>
      <c r="G115" s="15"/>
      <c r="H115" s="15"/>
      <c r="I115" s="15"/>
      <c r="J115" s="16"/>
    </row>
    <row r="116" spans="1:10" ht="13.5">
      <c r="A116" s="14"/>
      <c r="B116" s="14"/>
      <c r="C116" s="14"/>
      <c r="D116" s="14"/>
      <c r="E116" s="14"/>
      <c r="F116" s="19"/>
      <c r="G116" s="14"/>
      <c r="H116" s="14"/>
      <c r="I116" s="14"/>
      <c r="J116" s="16"/>
    </row>
    <row r="117" spans="1:10" ht="13.5">
      <c r="A117" s="14"/>
      <c r="B117" s="14"/>
      <c r="C117" s="14"/>
      <c r="D117" s="14"/>
      <c r="E117" s="14"/>
      <c r="F117" s="19"/>
      <c r="G117" s="14"/>
      <c r="H117" s="14"/>
      <c r="I117" s="14"/>
      <c r="J117" s="16"/>
    </row>
    <row r="118" spans="1:10" ht="13.5">
      <c r="A118" s="14"/>
      <c r="B118" s="14"/>
      <c r="C118" s="14"/>
      <c r="D118" s="14"/>
      <c r="E118" s="14"/>
      <c r="F118" s="19"/>
      <c r="G118" s="14"/>
      <c r="H118" s="14"/>
      <c r="I118" s="14"/>
      <c r="J118" s="16"/>
    </row>
    <row r="119" spans="1:10" ht="13.5">
      <c r="A119" s="14"/>
      <c r="B119" s="14"/>
      <c r="C119" s="14"/>
      <c r="D119" s="14"/>
      <c r="E119" s="14"/>
      <c r="F119" s="19"/>
      <c r="G119" s="14"/>
      <c r="H119" s="14"/>
      <c r="I119" s="14"/>
      <c r="J119" s="16"/>
    </row>
    <row r="120" spans="1:10" ht="13.5">
      <c r="A120" s="154" t="s">
        <v>128</v>
      </c>
      <c r="B120" s="154"/>
      <c r="C120" s="154"/>
      <c r="D120" s="154"/>
      <c r="E120" s="154"/>
      <c r="F120" s="154"/>
      <c r="G120" s="154"/>
      <c r="H120" s="154"/>
      <c r="I120" s="154"/>
      <c r="J120" s="154"/>
    </row>
  </sheetData>
  <sheetProtection/>
  <mergeCells count="10">
    <mergeCell ref="A58:J58"/>
    <mergeCell ref="A120:J120"/>
    <mergeCell ref="I16:I20"/>
    <mergeCell ref="J16:J20"/>
    <mergeCell ref="A1:J1"/>
    <mergeCell ref="A96:J96"/>
    <mergeCell ref="A110:J110"/>
    <mergeCell ref="A111:J111"/>
    <mergeCell ref="A107:J107"/>
    <mergeCell ref="A109:J109"/>
  </mergeCells>
  <printOptions/>
  <pageMargins left="0.93" right="0.3937007874015748" top="0.81" bottom="0.3937007874015748" header="0" footer="0"/>
  <pageSetup horizontalDpi="300" verticalDpi="300" orientation="portrait" scale="85" r:id="rId1"/>
  <rowBreaks count="2" manualBreakCount="2">
    <brk id="58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2017-04-11T15:17:32Z</cp:lastPrinted>
  <dcterms:created xsi:type="dcterms:W3CDTF">1999-01-19T17:04:46Z</dcterms:created>
  <dcterms:modified xsi:type="dcterms:W3CDTF">2019-08-29T21:29:27Z</dcterms:modified>
  <cp:category/>
  <cp:version/>
  <cp:contentType/>
  <cp:contentStatus/>
</cp:coreProperties>
</file>