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5700" tabRatio="604" activeTab="0"/>
  </bookViews>
  <sheets>
    <sheet name="Hoja1" sheetId="1" r:id="rId1"/>
    <sheet name="Hoja2" sheetId="2" state="hidden" r:id="rId2"/>
    <sheet name="Hoja3" sheetId="3" state="hidden" r:id="rId3"/>
  </sheets>
  <externalReferences>
    <externalReference r:id="rId6"/>
  </externalReferences>
  <definedNames>
    <definedName name="_xlnm.Print_Area" localSheetId="0">'Hoja1'!$A$1:$J$109</definedName>
    <definedName name="_xlnm.Print_Titles" localSheetId="0">'Hoja1'!$1:$18</definedName>
  </definedNames>
  <calcPr fullCalcOnLoad="1"/>
</workbook>
</file>

<file path=xl/sharedStrings.xml><?xml version="1.0" encoding="utf-8"?>
<sst xmlns="http://schemas.openxmlformats.org/spreadsheetml/2006/main" count="172" uniqueCount="126">
  <si>
    <t>AREA APLIC....</t>
  </si>
  <si>
    <t>Nacional</t>
  </si>
  <si>
    <t>ENTREVISTAS...</t>
  </si>
  <si>
    <t>RENDIMIENTO</t>
  </si>
  <si>
    <t xml:space="preserve"> METODO SIEMBRA.</t>
  </si>
  <si>
    <t>Directo</t>
  </si>
  <si>
    <t xml:space="preserve"> ORIGEN DE AGUAS</t>
  </si>
  <si>
    <t>Riego</t>
  </si>
  <si>
    <t xml:space="preserve"> NIVEL INSUMOS...</t>
  </si>
  <si>
    <t>Alto</t>
  </si>
  <si>
    <t xml:space="preserve"> PREP. TERRENO..</t>
  </si>
  <si>
    <t>Mecanizado</t>
  </si>
  <si>
    <t xml:space="preserve"> CLASIF. TERRENO</t>
  </si>
  <si>
    <t>A</t>
  </si>
  <si>
    <t>HOMBRE-DIA</t>
  </si>
  <si>
    <t>8 Horas</t>
  </si>
  <si>
    <t>FECHA     :</t>
  </si>
  <si>
    <t xml:space="preserve"> CARAC. ESPECIAL</t>
  </si>
  <si>
    <t>Porte Bajo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</si>
  <si>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</si>
  <si>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</si>
  <si>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</si>
  <si>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</si>
  <si>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</si>
  <si>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</si>
  <si>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</si>
  <si>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</si>
  <si>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</si>
  <si>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Quintal</t>
  </si>
  <si>
    <t>Kilo</t>
  </si>
  <si>
    <t>Litro</t>
  </si>
  <si>
    <t>Tarea</t>
  </si>
  <si>
    <t>Hom-Día</t>
  </si>
  <si>
    <t>3.  Preparación del Terreno:</t>
  </si>
  <si>
    <t xml:space="preserve">4.  Siembra </t>
  </si>
  <si>
    <t>I</t>
  </si>
  <si>
    <t xml:space="preserve">6.  Aplicación Fertilizantes </t>
  </si>
  <si>
    <t>7.  Aplicación Herbicidas</t>
  </si>
  <si>
    <t>8.  Aplicación Pesticidas</t>
  </si>
  <si>
    <t xml:space="preserve">     Dithane M-45)</t>
  </si>
  <si>
    <t>II</t>
  </si>
  <si>
    <t>10. Desyerbo</t>
  </si>
  <si>
    <t>11. Aplicación Fertilizante</t>
  </si>
  <si>
    <t xml:space="preserve">     15-15-15)</t>
  </si>
  <si>
    <t>III</t>
  </si>
  <si>
    <t>IV</t>
  </si>
  <si>
    <t>V</t>
  </si>
  <si>
    <t>SUBTOTAL</t>
  </si>
  <si>
    <t>GASTOS ADMINISTRATIVOS</t>
  </si>
  <si>
    <t>GASTO SEGURO AGRICOLA.</t>
  </si>
  <si>
    <t>TOTAL</t>
  </si>
  <si>
    <t>I. Semillero             :</t>
  </si>
  <si>
    <t>III. Mano de Obra:</t>
  </si>
  <si>
    <t>II.Preparación de terreno:</t>
  </si>
  <si>
    <t>IV. Insumos      :</t>
  </si>
  <si>
    <t>Unidad</t>
  </si>
  <si>
    <t>Costo/</t>
  </si>
  <si>
    <t>Arroz</t>
  </si>
  <si>
    <t>5 Meses</t>
  </si>
  <si>
    <t xml:space="preserve"> CICLO</t>
  </si>
  <si>
    <t xml:space="preserve"> RUBRO</t>
  </si>
  <si>
    <t>Cant.</t>
  </si>
  <si>
    <t xml:space="preserve"> COSTO CODIGO</t>
  </si>
  <si>
    <t>0-02334A*</t>
  </si>
  <si>
    <t xml:space="preserve"> Participación  % por Actividad</t>
  </si>
  <si>
    <t xml:space="preserve">Coeficiente Técnico por Actividad </t>
  </si>
  <si>
    <t>.......................................</t>
  </si>
  <si>
    <t xml:space="preserve">    (0.0556 QQ Urea + 0.2340 QQ</t>
  </si>
  <si>
    <t xml:space="preserve">    (0.0799 Lt; 2-4-D + 0.1506 Lt;</t>
  </si>
  <si>
    <t xml:space="preserve">     Machete 600 EC)</t>
  </si>
  <si>
    <t xml:space="preserve">    (0.0185 Lt confidor  + 0.0529 curacron )</t>
  </si>
  <si>
    <t xml:space="preserve">    15-15-15+ 0.2253 QQ Sultado)</t>
  </si>
  <si>
    <t xml:space="preserve">     (0.0556 QQ Urea + 0.2851 QQ 20-5-20)</t>
  </si>
  <si>
    <t xml:space="preserve">    (0.0650 Lts Calidan + 0.0762 Kg;</t>
  </si>
  <si>
    <t>5.  Riegos</t>
  </si>
  <si>
    <t>Fanegas de 100kg</t>
  </si>
  <si>
    <t>MINISTERIO DE AGRICULTURA</t>
  </si>
  <si>
    <t>Estimado 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</si>
  <si>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</si>
  <si>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</si>
  <si>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</si>
  <si>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El uso de una "MARCA DE FABRICA" no constituye una recomendación del producto, sino lo que informaron los productores.</t>
  </si>
  <si>
    <t>Fuente: Ministerio de Agricultura, Departamento de Economía Agropecuaria.</t>
  </si>
  <si>
    <t>Estimados por la División de Estudios Económicos.-</t>
  </si>
  <si>
    <t>Año Preliminar</t>
  </si>
  <si>
    <t>13. Desyerbo</t>
  </si>
  <si>
    <t>14. Aplicación Fertilizante</t>
  </si>
  <si>
    <t>15. Aplicación Insecticida</t>
  </si>
  <si>
    <t>17. Desyerbo</t>
  </si>
  <si>
    <t>18. Aplicación Insecticida</t>
  </si>
  <si>
    <t>19. Aplicación (Molusquicida y Raticida)</t>
  </si>
  <si>
    <t>20. Cosecha (Mecanizada)</t>
  </si>
  <si>
    <t>21. Transporte Interno y Sereno</t>
  </si>
  <si>
    <t xml:space="preserve">    (0.0.0305 Lts cipermetrina</t>
  </si>
  <si>
    <t>2. Fertilizante (Urea)</t>
  </si>
  <si>
    <t>3.  Fertilizante (15-15-15)</t>
  </si>
  <si>
    <t>4. Fertilizante (Sulfato)</t>
  </si>
  <si>
    <t>5. Fertilizante (20-5-20)</t>
  </si>
  <si>
    <t>10.  Insecticida (Cipermetrina)</t>
  </si>
  <si>
    <t>18. Transporte de Insumos</t>
  </si>
  <si>
    <t>19. Pago de Agua INDRHI (5 Meses)</t>
  </si>
  <si>
    <t>2. Limpieza de Canales</t>
  </si>
  <si>
    <t xml:space="preserve">2.  Mureo </t>
  </si>
  <si>
    <t>3.  Nivelación (Animal)</t>
  </si>
  <si>
    <t>1.  Fangueo (Incluye corte y cruce con rotovator en condiciones húmedas)</t>
  </si>
  <si>
    <t>1. Insumos</t>
  </si>
  <si>
    <t>1.Semilla</t>
  </si>
  <si>
    <t>6.  Fungicida (Mancoceb)</t>
  </si>
  <si>
    <t>11. Insecticida (Imidacroprid)</t>
  </si>
  <si>
    <t>12.  Insecticida (Organofosforado)</t>
  </si>
  <si>
    <t>17. Raticida Racumin (Coumafetraly)</t>
  </si>
  <si>
    <t>13.  Herbicida (Acido 2,4  diclorofenoxiacético)</t>
  </si>
  <si>
    <t>7.  Fungicida (Azufre)</t>
  </si>
  <si>
    <t>8. Fungicida (Isoprothiolane)</t>
  </si>
  <si>
    <t>9. Fungicida  (Tricyclazole)</t>
  </si>
  <si>
    <t xml:space="preserve">9.  Riegos </t>
  </si>
  <si>
    <t xml:space="preserve">12. Riego </t>
  </si>
  <si>
    <t xml:space="preserve">16. Riego </t>
  </si>
  <si>
    <t>Página 15</t>
  </si>
  <si>
    <t>Página 16</t>
  </si>
  <si>
    <t>Página 17</t>
  </si>
  <si>
    <t>PAGO INTERESES 8.0% ANUAL (6 MESES 4%)</t>
  </si>
  <si>
    <t xml:space="preserve">16. Molusquicida (Aldhido ciclico metaldehido) </t>
  </si>
  <si>
    <t xml:space="preserve">15.  Herbicida (Butaclor) </t>
  </si>
  <si>
    <t xml:space="preserve">14.  Herbicida (Quinclorac) 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</si>
  <si>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 de los insumos actualizados a mayo, 2019.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</si>
</sst>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00"/>
    <numFmt numFmtId="197" formatCode="0.0000"/>
    <numFmt numFmtId="198" formatCode="#,##0.0000000000_);\(#,##0.0000000000\)"/>
    <numFmt numFmtId="199" formatCode="_-* #,##0.00_-;\-* #,##0.00_-;_-* &quot;-&quot;??_-;_-@_-"/>
    <numFmt numFmtId="200" formatCode="#,##0.00_ ;\-#,##0.00\ "/>
    <numFmt numFmtId="201" formatCode="0.0000000"/>
    <numFmt numFmtId="202" formatCode="0.000000"/>
    <numFmt numFmtId="203" formatCode="0.00000"/>
    <numFmt numFmtId="204" formatCode="0.0"/>
    <numFmt numFmtId="205" formatCode="#,##0.00\ _€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0000000_);\(#,##0.000000000000\)"/>
    <numFmt numFmtId="211" formatCode="#,##0.00000000000_);\(#,##0.00000000000\)"/>
    <numFmt numFmtId="212" formatCode="#,##0.000000000_);\(#,##0.0000000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_);\(#,##0.000\)"/>
    <numFmt numFmtId="218" formatCode="0.000000000000%"/>
  </numFmts>
  <fonts count="58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56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sz val="10"/>
      <color indexed="5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3"/>
      <name val="Arial Narrow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</font>
    <font>
      <sz val="10"/>
      <color theme="0"/>
      <name val="Arial Narrow"/>
      <family val="2"/>
    </font>
    <font>
      <b/>
      <sz val="16"/>
      <color rgb="FFFF0000"/>
      <name val="Arial Narrow"/>
      <family val="2"/>
    </font>
    <font>
      <sz val="10"/>
      <color theme="9" tint="0.59999001026153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BBF5B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187" fontId="1" fillId="33" borderId="0" xfId="0" applyNumberFormat="1" applyFont="1" applyFill="1" applyAlignment="1" applyProtection="1">
      <alignment/>
      <protection/>
    </xf>
    <xf numFmtId="188" fontId="1" fillId="33" borderId="0" xfId="0" applyNumberFormat="1" applyFont="1" applyFill="1" applyAlignment="1" applyProtection="1">
      <alignment horizontal="left"/>
      <protection/>
    </xf>
    <xf numFmtId="188" fontId="3" fillId="33" borderId="0" xfId="0" applyNumberFormat="1" applyFont="1" applyFill="1" applyAlignment="1" applyProtection="1">
      <alignment horizontal="center"/>
      <protection/>
    </xf>
    <xf numFmtId="43" fontId="2" fillId="33" borderId="0" xfId="49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/>
      <protection/>
    </xf>
    <xf numFmtId="4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center"/>
      <protection/>
    </xf>
    <xf numFmtId="0" fontId="52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fill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90" fontId="1" fillId="33" borderId="11" xfId="0" applyNumberFormat="1" applyFont="1" applyFill="1" applyBorder="1" applyAlignment="1" applyProtection="1">
      <alignment/>
      <protection/>
    </xf>
    <xf numFmtId="39" fontId="1" fillId="33" borderId="11" xfId="0" applyNumberFormat="1" applyFont="1" applyFill="1" applyBorder="1" applyAlignment="1" applyProtection="1">
      <alignment/>
      <protection/>
    </xf>
    <xf numFmtId="189" fontId="1" fillId="33" borderId="11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9" applyFont="1" applyFill="1" applyBorder="1" applyAlignment="1" applyProtection="1">
      <alignment/>
      <protection/>
    </xf>
    <xf numFmtId="9" fontId="1" fillId="33" borderId="12" xfId="57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9" fontId="1" fillId="33" borderId="11" xfId="0" applyNumberFormat="1" applyFont="1" applyFill="1" applyBorder="1" applyAlignment="1">
      <alignment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190" fontId="1" fillId="33" borderId="15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39" fontId="1" fillId="33" borderId="15" xfId="0" applyNumberFormat="1" applyFont="1" applyFill="1" applyBorder="1" applyAlignment="1" applyProtection="1">
      <alignment/>
      <protection/>
    </xf>
    <xf numFmtId="43" fontId="1" fillId="33" borderId="15" xfId="49" applyFont="1" applyFill="1" applyBorder="1" applyAlignment="1" applyProtection="1">
      <alignment/>
      <protection/>
    </xf>
    <xf numFmtId="9" fontId="1" fillId="33" borderId="16" xfId="57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fill"/>
      <protection/>
    </xf>
    <xf numFmtId="187" fontId="1" fillId="33" borderId="18" xfId="0" applyNumberFormat="1" applyFont="1" applyFill="1" applyBorder="1" applyAlignment="1" applyProtection="1">
      <alignment horizontal="fill"/>
      <protection/>
    </xf>
    <xf numFmtId="0" fontId="1" fillId="33" borderId="18" xfId="0" applyFont="1" applyFill="1" applyBorder="1" applyAlignment="1" applyProtection="1">
      <alignment/>
      <protection locked="0"/>
    </xf>
    <xf numFmtId="190" fontId="1" fillId="33" borderId="18" xfId="0" applyNumberFormat="1" applyFont="1" applyFill="1" applyBorder="1" applyAlignment="1" applyProtection="1">
      <alignment/>
      <protection/>
    </xf>
    <xf numFmtId="39" fontId="1" fillId="33" borderId="18" xfId="0" applyNumberFormat="1" applyFont="1" applyFill="1" applyBorder="1" applyAlignment="1" applyProtection="1">
      <alignment/>
      <protection/>
    </xf>
    <xf numFmtId="39" fontId="4" fillId="33" borderId="19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187" fontId="1" fillId="33" borderId="12" xfId="0" applyNumberFormat="1" applyFont="1" applyFill="1" applyBorder="1" applyAlignment="1" applyProtection="1">
      <alignment/>
      <protection/>
    </xf>
    <xf numFmtId="39" fontId="1" fillId="33" borderId="12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5" fillId="0" borderId="0" xfId="46" applyNumberFormat="1" applyAlignment="1" applyProtection="1">
      <alignment/>
      <protection/>
    </xf>
    <xf numFmtId="39" fontId="53" fillId="33" borderId="11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200" fontId="55" fillId="33" borderId="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189" fontId="55" fillId="33" borderId="0" xfId="0" applyNumberFormat="1" applyFont="1" applyFill="1" applyBorder="1" applyAlignment="1" applyProtection="1">
      <alignment/>
      <protection/>
    </xf>
    <xf numFmtId="189" fontId="55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horizontal="left"/>
    </xf>
    <xf numFmtId="0" fontId="4" fillId="33" borderId="14" xfId="0" applyFont="1" applyFill="1" applyBorder="1" applyAlignment="1">
      <alignment/>
    </xf>
    <xf numFmtId="211" fontId="55" fillId="33" borderId="0" xfId="0" applyNumberFormat="1" applyFont="1" applyFill="1" applyAlignment="1">
      <alignment/>
    </xf>
    <xf numFmtId="39" fontId="53" fillId="33" borderId="0" xfId="0" applyNumberFormat="1" applyFont="1" applyFill="1" applyAlignment="1" applyProtection="1">
      <alignment horizontal="center"/>
      <protection/>
    </xf>
    <xf numFmtId="217" fontId="1" fillId="33" borderId="0" xfId="0" applyNumberFormat="1" applyFont="1" applyFill="1" applyAlignment="1">
      <alignment/>
    </xf>
    <xf numFmtId="43" fontId="4" fillId="33" borderId="0" xfId="49" applyFont="1" applyFill="1" applyAlignment="1">
      <alignment/>
    </xf>
    <xf numFmtId="0" fontId="55" fillId="0" borderId="0" xfId="0" applyFont="1" applyAlignment="1">
      <alignment/>
    </xf>
    <xf numFmtId="0" fontId="2" fillId="33" borderId="0" xfId="0" applyFont="1" applyFill="1" applyAlignment="1">
      <alignment horizontal="left"/>
    </xf>
    <xf numFmtId="43" fontId="1" fillId="33" borderId="0" xfId="49" applyFont="1" applyFill="1" applyAlignment="1">
      <alignment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>
      <alignment horizontal="center"/>
    </xf>
    <xf numFmtId="190" fontId="1" fillId="33" borderId="14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39" fontId="1" fillId="33" borderId="14" xfId="0" applyNumberFormat="1" applyFont="1" applyFill="1" applyBorder="1" applyAlignment="1" applyProtection="1">
      <alignment/>
      <protection/>
    </xf>
    <xf numFmtId="43" fontId="1" fillId="33" borderId="14" xfId="49" applyFont="1" applyFill="1" applyBorder="1" applyAlignment="1" applyProtection="1">
      <alignment/>
      <protection/>
    </xf>
    <xf numFmtId="9" fontId="1" fillId="33" borderId="14" xfId="57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3" fillId="0" borderId="0" xfId="0" applyFont="1" applyAlignment="1">
      <alignment/>
    </xf>
    <xf numFmtId="0" fontId="4" fillId="34" borderId="17" xfId="0" applyFont="1" applyFill="1" applyBorder="1" applyAlignment="1" applyProtection="1">
      <alignment horizontal="centerContinuous"/>
      <protection/>
    </xf>
    <xf numFmtId="0" fontId="4" fillId="34" borderId="18" xfId="0" applyFont="1" applyFill="1" applyBorder="1" applyAlignment="1">
      <alignment horizontal="centerContinuous"/>
    </xf>
    <xf numFmtId="39" fontId="4" fillId="34" borderId="20" xfId="0" applyNumberFormat="1" applyFont="1" applyFill="1" applyBorder="1" applyAlignment="1" applyProtection="1">
      <alignment horizontal="centerContinuous"/>
      <protection/>
    </xf>
    <xf numFmtId="0" fontId="1" fillId="34" borderId="21" xfId="0" applyFont="1" applyFill="1" applyBorder="1" applyAlignment="1" applyProtection="1">
      <alignment horizontal="fill"/>
      <protection/>
    </xf>
    <xf numFmtId="0" fontId="1" fillId="34" borderId="22" xfId="0" applyFont="1" applyFill="1" applyBorder="1" applyAlignment="1" applyProtection="1">
      <alignment horizontal="fill"/>
      <protection/>
    </xf>
    <xf numFmtId="0" fontId="1" fillId="34" borderId="23" xfId="0" applyFont="1" applyFill="1" applyBorder="1" applyAlignment="1" applyProtection="1">
      <alignment horizontal="fill"/>
      <protection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9" fillId="34" borderId="24" xfId="0" applyFont="1" applyFill="1" applyBorder="1" applyAlignment="1">
      <alignment horizontal="center"/>
    </xf>
    <xf numFmtId="0" fontId="9" fillId="34" borderId="24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fill"/>
      <protection/>
    </xf>
    <xf numFmtId="0" fontId="4" fillId="34" borderId="14" xfId="0" applyFont="1" applyFill="1" applyBorder="1" applyAlignment="1" applyProtection="1">
      <alignment horizontal="fill"/>
      <protection/>
    </xf>
    <xf numFmtId="0" fontId="9" fillId="34" borderId="15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>
      <alignment/>
    </xf>
    <xf numFmtId="0" fontId="4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fill"/>
      <protection/>
    </xf>
    <xf numFmtId="39" fontId="1" fillId="34" borderId="14" xfId="0" applyNumberFormat="1" applyFont="1" applyFill="1" applyBorder="1" applyAlignment="1" applyProtection="1">
      <alignment/>
      <protection/>
    </xf>
    <xf numFmtId="39" fontId="4" fillId="34" borderId="16" xfId="0" applyNumberFormat="1" applyFont="1" applyFill="1" applyBorder="1" applyAlignment="1" applyProtection="1">
      <alignment/>
      <protection/>
    </xf>
    <xf numFmtId="0" fontId="56" fillId="0" borderId="0" xfId="0" applyFont="1" applyFill="1" applyAlignment="1">
      <alignment/>
    </xf>
    <xf numFmtId="165" fontId="2" fillId="33" borderId="0" xfId="0" applyNumberFormat="1" applyFont="1" applyFill="1" applyAlignment="1">
      <alignment horizontal="left"/>
    </xf>
    <xf numFmtId="0" fontId="1" fillId="35" borderId="17" xfId="0" applyFont="1" applyFill="1" applyBorder="1" applyAlignment="1" applyProtection="1">
      <alignment horizontal="left"/>
      <protection/>
    </xf>
    <xf numFmtId="0" fontId="1" fillId="35" borderId="20" xfId="0" applyFont="1" applyFill="1" applyBorder="1" applyAlignment="1">
      <alignment/>
    </xf>
    <xf numFmtId="7" fontId="2" fillId="35" borderId="25" xfId="0" applyNumberFormat="1" applyFont="1" applyFill="1" applyBorder="1" applyAlignment="1" applyProtection="1">
      <alignment/>
      <protection/>
    </xf>
    <xf numFmtId="10" fontId="2" fillId="35" borderId="26" xfId="0" applyNumberFormat="1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left"/>
      <protection/>
    </xf>
    <xf numFmtId="0" fontId="2" fillId="35" borderId="20" xfId="0" applyFont="1" applyFill="1" applyBorder="1" applyAlignment="1">
      <alignment horizontal="center"/>
    </xf>
    <xf numFmtId="7" fontId="2" fillId="35" borderId="26" xfId="0" applyNumberFormat="1" applyFont="1" applyFill="1" applyBorder="1" applyAlignment="1" applyProtection="1">
      <alignment/>
      <protection/>
    </xf>
    <xf numFmtId="10" fontId="2" fillId="35" borderId="19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fill"/>
      <protection/>
    </xf>
    <xf numFmtId="0" fontId="1" fillId="35" borderId="13" xfId="0" applyFont="1" applyFill="1" applyBorder="1" applyAlignment="1" applyProtection="1">
      <alignment horizontal="left"/>
      <protection/>
    </xf>
    <xf numFmtId="0" fontId="1" fillId="35" borderId="27" xfId="0" applyFont="1" applyFill="1" applyBorder="1" applyAlignment="1">
      <alignment/>
    </xf>
    <xf numFmtId="7" fontId="2" fillId="35" borderId="28" xfId="0" applyNumberFormat="1" applyFont="1" applyFill="1" applyBorder="1" applyAlignment="1" applyProtection="1">
      <alignment/>
      <protection/>
    </xf>
    <xf numFmtId="10" fontId="2" fillId="35" borderId="15" xfId="0" applyNumberFormat="1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>
      <alignment horizontal="center"/>
    </xf>
    <xf numFmtId="7" fontId="2" fillId="35" borderId="15" xfId="0" applyNumberFormat="1" applyFont="1" applyFill="1" applyBorder="1" applyAlignment="1" applyProtection="1">
      <alignment/>
      <protection/>
    </xf>
    <xf numFmtId="10" fontId="2" fillId="35" borderId="16" xfId="0" applyNumberFormat="1" applyFont="1" applyFill="1" applyBorder="1" applyAlignment="1" applyProtection="1">
      <alignment/>
      <protection/>
    </xf>
    <xf numFmtId="0" fontId="55" fillId="0" borderId="0" xfId="0" applyFont="1" applyFill="1" applyAlignment="1">
      <alignment/>
    </xf>
    <xf numFmtId="9" fontId="1" fillId="33" borderId="0" xfId="57" applyFont="1" applyFill="1" applyAlignment="1">
      <alignment/>
    </xf>
    <xf numFmtId="9" fontId="1" fillId="0" borderId="0" xfId="57" applyFont="1" applyAlignment="1">
      <alignment/>
    </xf>
    <xf numFmtId="187" fontId="55" fillId="33" borderId="0" xfId="0" applyNumberFormat="1" applyFont="1" applyFill="1" applyBorder="1" applyAlignment="1" applyProtection="1">
      <alignment horizontal="fill"/>
      <protection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>
      <alignment horizontal="center" vertical="justify"/>
    </xf>
    <xf numFmtId="0" fontId="1" fillId="34" borderId="29" xfId="0" applyFont="1" applyFill="1" applyBorder="1" applyAlignment="1">
      <alignment horizontal="center" vertical="justify"/>
    </xf>
    <xf numFmtId="0" fontId="1" fillId="34" borderId="28" xfId="0" applyFont="1" applyFill="1" applyBorder="1" applyAlignment="1">
      <alignment horizontal="center" vertical="justify"/>
    </xf>
    <xf numFmtId="0" fontId="1" fillId="34" borderId="30" xfId="0" applyFont="1" applyFill="1" applyBorder="1" applyAlignment="1">
      <alignment horizontal="center" vertical="justify"/>
    </xf>
    <xf numFmtId="0" fontId="1" fillId="34" borderId="31" xfId="0" applyFont="1" applyFill="1" applyBorder="1" applyAlignment="1">
      <alignment horizontal="center" vertical="justify"/>
    </xf>
    <xf numFmtId="0" fontId="1" fillId="34" borderId="32" xfId="0" applyFont="1" applyFill="1" applyBorder="1" applyAlignment="1">
      <alignment horizontal="center" vertical="justify"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33" xfId="0" applyFont="1" applyFill="1" applyBorder="1" applyAlignment="1" applyProtection="1">
      <alignment horizontal="left" wrapText="1"/>
      <protection/>
    </xf>
    <xf numFmtId="0" fontId="51" fillId="33" borderId="0" xfId="0" applyFont="1" applyFill="1" applyBorder="1" applyAlignment="1">
      <alignment/>
    </xf>
    <xf numFmtId="39" fontId="51" fillId="33" borderId="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ROZ%20TRASPLANTE%2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1">
          <cell r="H101">
            <v>6706.159753681695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82">
      <selection activeCell="K102" sqref="K101:K102"/>
    </sheetView>
  </sheetViews>
  <sheetFormatPr defaultColWidth="11.00390625" defaultRowHeight="12.75"/>
  <cols>
    <col min="1" max="1" width="14.57421875" style="1" customWidth="1"/>
    <col min="2" max="2" width="10.7109375" style="1" customWidth="1"/>
    <col min="3" max="3" width="12.140625" style="1" customWidth="1"/>
    <col min="4" max="4" width="9.00390625" style="1" customWidth="1"/>
    <col min="5" max="5" width="7.140625" style="1" customWidth="1"/>
    <col min="6" max="6" width="7.421875" style="1" customWidth="1"/>
    <col min="7" max="7" width="9.57421875" style="1" customWidth="1"/>
    <col min="8" max="8" width="9.140625" style="1" customWidth="1"/>
    <col min="9" max="9" width="8.7109375" style="1" customWidth="1"/>
    <col min="10" max="10" width="9.57421875" style="1" customWidth="1"/>
    <col min="11" max="11" width="15.28125" style="1" bestFit="1" customWidth="1"/>
    <col min="12" max="12" width="19.57421875" style="1" customWidth="1"/>
    <col min="13" max="16384" width="11.00390625" style="1" customWidth="1"/>
  </cols>
  <sheetData>
    <row r="1" spans="1:10" ht="35.25" customHeight="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" customHeight="1">
      <c r="A2" s="101"/>
      <c r="B2" s="102"/>
      <c r="C2" s="103"/>
      <c r="D2" s="103"/>
      <c r="E2" s="103"/>
      <c r="F2" s="103"/>
      <c r="G2" s="103"/>
      <c r="H2" s="103"/>
      <c r="I2" s="103"/>
      <c r="J2" s="103"/>
    </row>
    <row r="3" spans="1:10" ht="15.75">
      <c r="A3" s="7" t="s">
        <v>0</v>
      </c>
      <c r="B3" s="8" t="s">
        <v>1</v>
      </c>
      <c r="C3" s="4"/>
      <c r="D3" s="4"/>
      <c r="E3" s="4"/>
      <c r="F3" s="7" t="s">
        <v>60</v>
      </c>
      <c r="G3" s="9"/>
      <c r="H3" s="4" t="s">
        <v>66</v>
      </c>
      <c r="I3" s="4"/>
      <c r="J3" s="10" t="s">
        <v>57</v>
      </c>
    </row>
    <row r="4" spans="1:10" ht="13.5">
      <c r="A4" s="7" t="s">
        <v>2</v>
      </c>
      <c r="B4" s="8" t="s">
        <v>77</v>
      </c>
      <c r="C4" s="4"/>
      <c r="D4" s="4"/>
      <c r="E4" s="4"/>
      <c r="F4" s="7" t="s">
        <v>59</v>
      </c>
      <c r="G4" s="9"/>
      <c r="H4" s="4" t="s">
        <v>66</v>
      </c>
      <c r="I4" s="4"/>
      <c r="J4" s="4" t="s">
        <v>58</v>
      </c>
    </row>
    <row r="5" spans="1:10" ht="13.5">
      <c r="A5" s="7"/>
      <c r="B5" s="8"/>
      <c r="C5" s="4"/>
      <c r="D5" s="4"/>
      <c r="E5" s="4"/>
      <c r="F5" s="7" t="s">
        <v>62</v>
      </c>
      <c r="G5" s="8"/>
      <c r="H5" s="4" t="s">
        <v>66</v>
      </c>
      <c r="I5" s="4"/>
      <c r="J5" s="7" t="s">
        <v>63</v>
      </c>
    </row>
    <row r="6" spans="1:10" ht="13.5">
      <c r="A6" s="9"/>
      <c r="B6" s="9"/>
      <c r="C6" s="9"/>
      <c r="D6" s="11" t="s">
        <v>56</v>
      </c>
      <c r="E6" s="4"/>
      <c r="F6" s="4"/>
      <c r="G6" s="4"/>
      <c r="H6" s="4"/>
      <c r="I6" s="4"/>
      <c r="J6" s="4"/>
    </row>
    <row r="7" spans="1:10" ht="13.5">
      <c r="A7" s="7"/>
      <c r="B7" s="12" t="s">
        <v>3</v>
      </c>
      <c r="C7" s="11" t="s">
        <v>55</v>
      </c>
      <c r="D7" s="11" t="s">
        <v>55</v>
      </c>
      <c r="E7" s="4"/>
      <c r="F7" s="7" t="s">
        <v>4</v>
      </c>
      <c r="G7" s="9"/>
      <c r="H7" s="4" t="s">
        <v>66</v>
      </c>
      <c r="I7" s="4"/>
      <c r="J7" s="8" t="s">
        <v>5</v>
      </c>
    </row>
    <row r="8" spans="1:11" ht="13.5">
      <c r="A8" s="4"/>
      <c r="B8" s="13"/>
      <c r="C8" s="4"/>
      <c r="D8" s="4"/>
      <c r="E8" s="4"/>
      <c r="F8" s="7" t="s">
        <v>6</v>
      </c>
      <c r="G8" s="9"/>
      <c r="H8" s="4" t="s">
        <v>66</v>
      </c>
      <c r="I8" s="4"/>
      <c r="J8" s="8" t="s">
        <v>7</v>
      </c>
      <c r="K8" s="85"/>
    </row>
    <row r="9" spans="1:11" ht="13.5">
      <c r="A9" s="14"/>
      <c r="B9" s="71">
        <v>4.61</v>
      </c>
      <c r="C9" s="15" t="s">
        <v>75</v>
      </c>
      <c r="D9" s="16">
        <f>+H96/B9</f>
        <v>1271.8919376836648</v>
      </c>
      <c r="E9" s="4"/>
      <c r="F9" s="7" t="s">
        <v>8</v>
      </c>
      <c r="G9" s="9"/>
      <c r="H9" s="4" t="s">
        <v>66</v>
      </c>
      <c r="I9" s="4"/>
      <c r="J9" s="8" t="s">
        <v>9</v>
      </c>
      <c r="K9" s="85"/>
    </row>
    <row r="10" spans="1:11" ht="13.5">
      <c r="A10" s="14"/>
      <c r="B10" s="9"/>
      <c r="C10" s="17"/>
      <c r="D10" s="4"/>
      <c r="E10" s="18"/>
      <c r="F10" s="7" t="s">
        <v>10</v>
      </c>
      <c r="G10" s="9"/>
      <c r="H10" s="4" t="s">
        <v>66</v>
      </c>
      <c r="I10" s="4"/>
      <c r="J10" s="8" t="s">
        <v>11</v>
      </c>
      <c r="K10" s="85"/>
    </row>
    <row r="11" spans="1:11" ht="15.75">
      <c r="A11" s="7" t="s">
        <v>14</v>
      </c>
      <c r="B11" s="19" t="s">
        <v>15</v>
      </c>
      <c r="C11" s="20" t="s">
        <v>16</v>
      </c>
      <c r="D11" s="21">
        <v>2019</v>
      </c>
      <c r="E11" s="4"/>
      <c r="F11" s="7" t="s">
        <v>12</v>
      </c>
      <c r="G11" s="9"/>
      <c r="H11" s="4" t="s">
        <v>66</v>
      </c>
      <c r="I11" s="4"/>
      <c r="J11" s="8" t="s">
        <v>13</v>
      </c>
      <c r="K11" s="85"/>
    </row>
    <row r="12" spans="1:11" ht="13.5">
      <c r="A12" s="7" t="s">
        <v>19</v>
      </c>
      <c r="B12" s="109">
        <v>550</v>
      </c>
      <c r="C12" s="4"/>
      <c r="D12" s="22"/>
      <c r="E12" s="4"/>
      <c r="F12" s="7" t="s">
        <v>17</v>
      </c>
      <c r="G12" s="9"/>
      <c r="H12" s="4" t="s">
        <v>66</v>
      </c>
      <c r="I12" s="4"/>
      <c r="J12" s="8" t="s">
        <v>18</v>
      </c>
      <c r="K12" s="85"/>
    </row>
    <row r="13" spans="1:11" ht="8.25" customHeight="1" thickBot="1">
      <c r="A13" s="4"/>
      <c r="B13" s="4"/>
      <c r="C13" s="4"/>
      <c r="D13" s="4"/>
      <c r="E13" s="23"/>
      <c r="F13" s="23"/>
      <c r="G13" s="23"/>
      <c r="H13" s="23"/>
      <c r="I13" s="4"/>
      <c r="J13" s="4"/>
      <c r="K13" s="85"/>
    </row>
    <row r="14" spans="1:11" ht="18.75" customHeight="1">
      <c r="A14" s="86" t="s">
        <v>20</v>
      </c>
      <c r="B14" s="87"/>
      <c r="C14" s="87"/>
      <c r="D14" s="87"/>
      <c r="E14" s="87"/>
      <c r="F14" s="87"/>
      <c r="G14" s="87"/>
      <c r="H14" s="88"/>
      <c r="I14" s="134" t="s">
        <v>65</v>
      </c>
      <c r="J14" s="137" t="s">
        <v>64</v>
      </c>
      <c r="K14" s="6"/>
    </row>
    <row r="15" spans="1:11" ht="3.75" customHeight="1">
      <c r="A15" s="89"/>
      <c r="B15" s="90"/>
      <c r="C15" s="90"/>
      <c r="D15" s="90"/>
      <c r="E15" s="90"/>
      <c r="F15" s="90"/>
      <c r="G15" s="90"/>
      <c r="H15" s="91"/>
      <c r="I15" s="135"/>
      <c r="J15" s="138"/>
      <c r="K15" s="6"/>
    </row>
    <row r="16" spans="1:11" ht="12.75" customHeight="1">
      <c r="A16" s="92"/>
      <c r="B16" s="93"/>
      <c r="C16" s="93"/>
      <c r="D16" s="94"/>
      <c r="E16" s="94"/>
      <c r="F16" s="94"/>
      <c r="G16" s="95" t="s">
        <v>21</v>
      </c>
      <c r="H16" s="95" t="s">
        <v>22</v>
      </c>
      <c r="I16" s="135"/>
      <c r="J16" s="138"/>
      <c r="K16" s="6"/>
    </row>
    <row r="17" spans="1:11" ht="12" customHeight="1">
      <c r="A17" s="96" t="s">
        <v>23</v>
      </c>
      <c r="B17" s="93"/>
      <c r="C17" s="93"/>
      <c r="D17" s="97" t="s">
        <v>24</v>
      </c>
      <c r="E17" s="97" t="s">
        <v>61</v>
      </c>
      <c r="F17" s="97" t="s">
        <v>25</v>
      </c>
      <c r="G17" s="97" t="s">
        <v>26</v>
      </c>
      <c r="H17" s="97" t="s">
        <v>27</v>
      </c>
      <c r="I17" s="135"/>
      <c r="J17" s="138"/>
      <c r="K17" s="6"/>
    </row>
    <row r="18" spans="1:11" ht="7.5" customHeight="1" thickBot="1">
      <c r="A18" s="98"/>
      <c r="B18" s="99"/>
      <c r="C18" s="99"/>
      <c r="D18" s="100"/>
      <c r="E18" s="100"/>
      <c r="F18" s="100"/>
      <c r="G18" s="100"/>
      <c r="H18" s="100"/>
      <c r="I18" s="136"/>
      <c r="J18" s="139"/>
      <c r="K18" s="6"/>
    </row>
    <row r="19" spans="1:11" s="5" customFormat="1" ht="15" customHeight="1">
      <c r="A19" s="24" t="s">
        <v>105</v>
      </c>
      <c r="B19" s="25"/>
      <c r="C19" s="25"/>
      <c r="D19" s="26"/>
      <c r="E19" s="27"/>
      <c r="F19" s="26"/>
      <c r="G19" s="28"/>
      <c r="H19" s="28"/>
      <c r="I19" s="29"/>
      <c r="J19" s="30"/>
      <c r="K19" s="127">
        <f>+(H96+'[1]Hoja1'!$H$101)/2</f>
        <v>6284.790793201695</v>
      </c>
    </row>
    <row r="20" spans="1:11" s="5" customFormat="1" ht="12.75">
      <c r="A20" s="31" t="s">
        <v>106</v>
      </c>
      <c r="B20" s="25"/>
      <c r="C20" s="32"/>
      <c r="D20" s="33"/>
      <c r="E20" s="27">
        <v>0.16</v>
      </c>
      <c r="F20" s="34" t="s">
        <v>28</v>
      </c>
      <c r="G20" s="28">
        <v>3000</v>
      </c>
      <c r="H20" s="28">
        <f aca="true" t="shared" si="0" ref="H20:H27">IF(E20*G20,+E20*G20,"        ")</f>
        <v>480</v>
      </c>
      <c r="I20" s="35">
        <f aca="true" t="shared" si="1" ref="I20:I37">E20/B$9</f>
        <v>0.03470715835140998</v>
      </c>
      <c r="J20" s="36">
        <f aca="true" t="shared" si="2" ref="J20:J39">H20/H$96</f>
        <v>0.08186346022748847</v>
      </c>
      <c r="K20" s="84"/>
    </row>
    <row r="21" spans="1:11" s="5" customFormat="1" ht="12.75">
      <c r="A21" s="31" t="s">
        <v>94</v>
      </c>
      <c r="B21" s="25"/>
      <c r="C21" s="25"/>
      <c r="D21" s="26"/>
      <c r="E21" s="27">
        <f>7.36/45.79</f>
        <v>0.16073378466914173</v>
      </c>
      <c r="F21" s="34" t="s">
        <v>28</v>
      </c>
      <c r="G21" s="28">
        <v>1186.775</v>
      </c>
      <c r="H21" s="28">
        <f t="shared" si="0"/>
        <v>190.75483730072068</v>
      </c>
      <c r="I21" s="35">
        <f t="shared" si="1"/>
        <v>0.034866330730833346</v>
      </c>
      <c r="J21" s="36">
        <f t="shared" si="2"/>
        <v>0.03253302299285121</v>
      </c>
      <c r="K21" s="84"/>
    </row>
    <row r="22" spans="1:11" s="5" customFormat="1" ht="12.75">
      <c r="A22" s="31" t="s">
        <v>95</v>
      </c>
      <c r="B22" s="25"/>
      <c r="C22" s="25"/>
      <c r="D22" s="26"/>
      <c r="E22" s="27">
        <f>14.39/47.39</f>
        <v>0.30365055918970246</v>
      </c>
      <c r="F22" s="34" t="s">
        <v>28</v>
      </c>
      <c r="G22" s="28">
        <v>1181.625</v>
      </c>
      <c r="H22" s="28">
        <f t="shared" si="0"/>
        <v>358.8010920025322</v>
      </c>
      <c r="I22" s="35">
        <f t="shared" si="1"/>
        <v>0.06586780025806994</v>
      </c>
      <c r="J22" s="36">
        <f t="shared" si="2"/>
        <v>0.061193122759851504</v>
      </c>
      <c r="K22" s="84"/>
    </row>
    <row r="23" spans="1:11" s="5" customFormat="1" ht="12.75">
      <c r="A23" s="31" t="s">
        <v>96</v>
      </c>
      <c r="B23" s="25"/>
      <c r="C23" s="25"/>
      <c r="D23" s="26"/>
      <c r="E23" s="27">
        <f>11.29/48.66</f>
        <v>0.23201808466913276</v>
      </c>
      <c r="F23" s="34" t="s">
        <v>28</v>
      </c>
      <c r="G23" s="28">
        <v>875.625</v>
      </c>
      <c r="H23" s="28">
        <f t="shared" si="0"/>
        <v>203.16083538840937</v>
      </c>
      <c r="I23" s="35">
        <f t="shared" si="1"/>
        <v>0.05032930253126524</v>
      </c>
      <c r="J23" s="36">
        <f t="shared" si="2"/>
        <v>0.0346488520158383</v>
      </c>
      <c r="K23" s="84"/>
    </row>
    <row r="24" spans="1:11" s="5" customFormat="1" ht="12.75">
      <c r="A24" s="31" t="s">
        <v>97</v>
      </c>
      <c r="B24" s="25"/>
      <c r="C24" s="25"/>
      <c r="D24" s="26"/>
      <c r="E24" s="27">
        <f>14.14/48.63</f>
        <v>0.2907670162451162</v>
      </c>
      <c r="F24" s="34" t="s">
        <v>28</v>
      </c>
      <c r="G24" s="60">
        <v>1124.3333333333333</v>
      </c>
      <c r="H24" s="28">
        <f t="shared" si="0"/>
        <v>326.91904859825894</v>
      </c>
      <c r="I24" s="35">
        <f t="shared" si="1"/>
        <v>0.06307310547616403</v>
      </c>
      <c r="J24" s="36">
        <f t="shared" si="2"/>
        <v>0.05575567610944154</v>
      </c>
      <c r="K24" s="84"/>
    </row>
    <row r="25" spans="1:11" s="5" customFormat="1" ht="12.75">
      <c r="A25" s="31" t="s">
        <v>107</v>
      </c>
      <c r="B25" s="25"/>
      <c r="C25" s="61"/>
      <c r="D25" s="26"/>
      <c r="E25" s="27">
        <f>3.67/50.04</f>
        <v>0.07334132693844925</v>
      </c>
      <c r="F25" s="34" t="s">
        <v>29</v>
      </c>
      <c r="G25" s="28">
        <v>411.5</v>
      </c>
      <c r="H25" s="28">
        <f t="shared" si="0"/>
        <v>30.179956035171866</v>
      </c>
      <c r="I25" s="35">
        <f t="shared" si="1"/>
        <v>0.01590918154847055</v>
      </c>
      <c r="J25" s="36">
        <f t="shared" si="2"/>
        <v>0.005147157563651339</v>
      </c>
      <c r="K25" s="84"/>
    </row>
    <row r="26" spans="1:11" s="5" customFormat="1" ht="12.75">
      <c r="A26" s="31" t="s">
        <v>112</v>
      </c>
      <c r="B26" s="25"/>
      <c r="C26" s="61"/>
      <c r="D26" s="26"/>
      <c r="E26" s="27">
        <f>2.82/45.82</f>
        <v>0.06154517677869925</v>
      </c>
      <c r="F26" s="34" t="s">
        <v>30</v>
      </c>
      <c r="G26" s="28">
        <v>1217.7109658673335</v>
      </c>
      <c r="H26" s="28">
        <f t="shared" si="0"/>
        <v>74.94423665966565</v>
      </c>
      <c r="I26" s="35">
        <f t="shared" si="1"/>
        <v>0.01335036372639897</v>
      </c>
      <c r="J26" s="36">
        <f t="shared" si="2"/>
        <v>0.012781655285558378</v>
      </c>
      <c r="K26" s="84"/>
    </row>
    <row r="27" spans="1:10" ht="12.75">
      <c r="A27" s="31" t="s">
        <v>113</v>
      </c>
      <c r="B27" s="25"/>
      <c r="C27" s="61"/>
      <c r="D27" s="26"/>
      <c r="E27" s="27">
        <f>2.88/48.84</f>
        <v>0.05896805896805896</v>
      </c>
      <c r="F27" s="34" t="s">
        <v>30</v>
      </c>
      <c r="G27" s="28">
        <v>1347.6666666666667</v>
      </c>
      <c r="H27" s="28">
        <f t="shared" si="0"/>
        <v>79.46928746928747</v>
      </c>
      <c r="I27" s="35">
        <f t="shared" si="1"/>
        <v>0.012791336001748147</v>
      </c>
      <c r="J27" s="36">
        <f t="shared" si="2"/>
        <v>0.013553397612601796</v>
      </c>
    </row>
    <row r="28" spans="1:10" ht="12.75">
      <c r="A28" s="31" t="s">
        <v>114</v>
      </c>
      <c r="B28" s="25"/>
      <c r="C28" s="61"/>
      <c r="D28" s="26"/>
      <c r="E28" s="27">
        <f>1.89/48.92</f>
        <v>0.03863450531479967</v>
      </c>
      <c r="F28" s="34" t="s">
        <v>29</v>
      </c>
      <c r="G28" s="28">
        <v>1195</v>
      </c>
      <c r="H28" s="28">
        <f aca="true" t="shared" si="3" ref="H28:H37">IF(E28*G28,+E28*G28,"        ")</f>
        <v>46.168233851185605</v>
      </c>
      <c r="I28" s="35">
        <f t="shared" si="1"/>
        <v>0.008380586836182142</v>
      </c>
      <c r="J28" s="36">
        <f t="shared" si="2"/>
        <v>0.007873940365937332</v>
      </c>
    </row>
    <row r="29" spans="1:10" ht="14.25" customHeight="1">
      <c r="A29" s="31" t="s">
        <v>98</v>
      </c>
      <c r="B29" s="25"/>
      <c r="C29" s="61"/>
      <c r="D29" s="26"/>
      <c r="E29" s="27">
        <f>1.53/49.92</f>
        <v>0.03064903846153846</v>
      </c>
      <c r="F29" s="34" t="s">
        <v>30</v>
      </c>
      <c r="G29" s="28">
        <v>535</v>
      </c>
      <c r="H29" s="28">
        <f t="shared" si="3"/>
        <v>16.397235576923077</v>
      </c>
      <c r="I29" s="35">
        <f t="shared" si="1"/>
        <v>0.006648381445019188</v>
      </c>
      <c r="J29" s="36">
        <f t="shared" si="2"/>
        <v>0.002796530088525419</v>
      </c>
    </row>
    <row r="30" spans="1:10" ht="12.75">
      <c r="A30" s="31" t="s">
        <v>108</v>
      </c>
      <c r="B30" s="25"/>
      <c r="C30" s="61"/>
      <c r="D30" s="26"/>
      <c r="E30" s="27">
        <f>0.88/51.48</f>
        <v>0.017094017094017096</v>
      </c>
      <c r="F30" s="34" t="s">
        <v>29</v>
      </c>
      <c r="G30" s="28">
        <v>865</v>
      </c>
      <c r="H30" s="28">
        <f t="shared" si="3"/>
        <v>14.786324786324787</v>
      </c>
      <c r="I30" s="35">
        <f t="shared" si="1"/>
        <v>0.003708029738398502</v>
      </c>
      <c r="J30" s="36">
        <f t="shared" si="2"/>
        <v>0.002521791064700054</v>
      </c>
    </row>
    <row r="31" spans="1:10" ht="12.75">
      <c r="A31" s="31" t="s">
        <v>109</v>
      </c>
      <c r="B31" s="25"/>
      <c r="C31" s="62"/>
      <c r="D31" s="26"/>
      <c r="E31" s="27">
        <f>2.72/50.6</f>
        <v>0.05375494071146245</v>
      </c>
      <c r="F31" s="34" t="s">
        <v>30</v>
      </c>
      <c r="G31" s="28">
        <v>1265</v>
      </c>
      <c r="H31" s="28">
        <f t="shared" si="3"/>
        <v>68</v>
      </c>
      <c r="I31" s="35">
        <f t="shared" si="1"/>
        <v>0.011660507746521139</v>
      </c>
      <c r="J31" s="36">
        <f t="shared" si="2"/>
        <v>0.011597323532227533</v>
      </c>
    </row>
    <row r="32" spans="1:10" ht="13.5" customHeight="1">
      <c r="A32" s="31" t="s">
        <v>111</v>
      </c>
      <c r="B32" s="25"/>
      <c r="C32" s="61"/>
      <c r="D32" s="26"/>
      <c r="E32" s="27">
        <f>3.57/43.11</f>
        <v>0.08281141266527488</v>
      </c>
      <c r="F32" s="34" t="s">
        <v>30</v>
      </c>
      <c r="G32" s="28">
        <v>247.54166666666666</v>
      </c>
      <c r="H32" s="28">
        <f t="shared" si="3"/>
        <v>20.49927511018325</v>
      </c>
      <c r="I32" s="35">
        <f t="shared" si="1"/>
        <v>0.01796343007923533</v>
      </c>
      <c r="J32" s="36">
        <f t="shared" si="2"/>
        <v>0.003496128318072564</v>
      </c>
    </row>
    <row r="33" spans="1:10" ht="12.75">
      <c r="A33" s="31" t="s">
        <v>124</v>
      </c>
      <c r="B33" s="25"/>
      <c r="C33" s="61"/>
      <c r="D33" s="26"/>
      <c r="E33" s="27">
        <f>3.38/49.2</f>
        <v>0.06869918699186991</v>
      </c>
      <c r="F33" s="34" t="s">
        <v>30</v>
      </c>
      <c r="G33" s="28">
        <v>1500</v>
      </c>
      <c r="H33" s="28">
        <f t="shared" si="3"/>
        <v>103.04878048780488</v>
      </c>
      <c r="I33" s="35">
        <f t="shared" si="1"/>
        <v>0.01490220975962471</v>
      </c>
      <c r="J33" s="36">
        <f t="shared" si="2"/>
        <v>0.017574853631155424</v>
      </c>
    </row>
    <row r="34" spans="1:10" ht="12.75">
      <c r="A34" s="31" t="s">
        <v>123</v>
      </c>
      <c r="B34" s="25"/>
      <c r="C34" s="61"/>
      <c r="D34" s="26"/>
      <c r="E34" s="27">
        <f>6.73/44.76</f>
        <v>0.15035746201966044</v>
      </c>
      <c r="F34" s="34" t="s">
        <v>30</v>
      </c>
      <c r="G34" s="28">
        <v>445.25</v>
      </c>
      <c r="H34" s="28">
        <f t="shared" si="3"/>
        <v>66.94665996425381</v>
      </c>
      <c r="I34" s="35">
        <f t="shared" si="1"/>
        <v>0.032615501522702914</v>
      </c>
      <c r="J34" s="36">
        <f t="shared" si="2"/>
        <v>0.011417677573639347</v>
      </c>
    </row>
    <row r="35" spans="1:10" ht="12.75">
      <c r="A35" s="31" t="s">
        <v>122</v>
      </c>
      <c r="B35" s="31"/>
      <c r="C35" s="61"/>
      <c r="D35" s="26"/>
      <c r="E35" s="28">
        <v>0.1875</v>
      </c>
      <c r="F35" s="34" t="s">
        <v>29</v>
      </c>
      <c r="G35" s="28">
        <v>172</v>
      </c>
      <c r="H35" s="28">
        <f t="shared" si="3"/>
        <v>32.25</v>
      </c>
      <c r="I35" s="35">
        <f t="shared" si="1"/>
        <v>0.04067245119305857</v>
      </c>
      <c r="J35" s="36">
        <f t="shared" si="2"/>
        <v>0.005500201234034381</v>
      </c>
    </row>
    <row r="36" spans="1:10" ht="12.75">
      <c r="A36" s="31" t="s">
        <v>110</v>
      </c>
      <c r="B36" s="25"/>
      <c r="C36" s="61"/>
      <c r="D36" s="26"/>
      <c r="E36" s="27">
        <v>0.0472</v>
      </c>
      <c r="F36" s="34" t="s">
        <v>29</v>
      </c>
      <c r="G36" s="28">
        <v>453.3333333333333</v>
      </c>
      <c r="H36" s="28">
        <f t="shared" si="3"/>
        <v>21.397333333333332</v>
      </c>
      <c r="I36" s="35">
        <f t="shared" si="1"/>
        <v>0.010238611713665942</v>
      </c>
      <c r="J36" s="36">
        <f t="shared" si="2"/>
        <v>0.00364929113814093</v>
      </c>
    </row>
    <row r="37" spans="1:10" ht="12.75">
      <c r="A37" s="31" t="s">
        <v>99</v>
      </c>
      <c r="B37" s="25"/>
      <c r="C37" s="25"/>
      <c r="D37" s="26"/>
      <c r="E37" s="27">
        <v>1</v>
      </c>
      <c r="F37" s="34" t="s">
        <v>31</v>
      </c>
      <c r="G37" s="28">
        <v>150</v>
      </c>
      <c r="H37" s="28">
        <f t="shared" si="3"/>
        <v>150</v>
      </c>
      <c r="I37" s="35">
        <f t="shared" si="1"/>
        <v>0.21691973969631234</v>
      </c>
      <c r="J37" s="36">
        <f t="shared" si="2"/>
        <v>0.025582331321090144</v>
      </c>
    </row>
    <row r="38" spans="1:12" s="6" customFormat="1" ht="12.75">
      <c r="A38" s="31" t="s">
        <v>100</v>
      </c>
      <c r="B38" s="25"/>
      <c r="C38" s="25"/>
      <c r="D38" s="26"/>
      <c r="E38" s="27">
        <v>1</v>
      </c>
      <c r="F38" s="34" t="s">
        <v>31</v>
      </c>
      <c r="G38" s="28">
        <v>40.53030303030303</v>
      </c>
      <c r="H38" s="28">
        <f>IF(E38*G38,+E38*G38,"        ")</f>
        <v>40.53030303030303</v>
      </c>
      <c r="I38" s="35">
        <f>E38/B$9</f>
        <v>0.21691973969631234</v>
      </c>
      <c r="J38" s="36">
        <f t="shared" si="2"/>
        <v>0.006912397604435974</v>
      </c>
      <c r="L38" s="1"/>
    </row>
    <row r="39" spans="1:12" ht="12.75">
      <c r="A39" s="31" t="s">
        <v>101</v>
      </c>
      <c r="B39" s="25"/>
      <c r="C39" s="25"/>
      <c r="D39" s="26"/>
      <c r="E39" s="27">
        <v>0.2213</v>
      </c>
      <c r="F39" s="34" t="s">
        <v>32</v>
      </c>
      <c r="G39" s="28">
        <v>500</v>
      </c>
      <c r="H39" s="28">
        <f>IF(E39*G39,+E39*G39,"        ")</f>
        <v>110.64999999999999</v>
      </c>
      <c r="I39" s="35">
        <f>E39/B$9</f>
        <v>0.04800433839479392</v>
      </c>
      <c r="J39" s="36">
        <f t="shared" si="2"/>
        <v>0.01887123307119083</v>
      </c>
      <c r="K39" s="6"/>
      <c r="L39" s="6"/>
    </row>
    <row r="40" spans="1:12" ht="3" customHeight="1">
      <c r="A40" s="37"/>
      <c r="B40" s="25"/>
      <c r="C40" s="25"/>
      <c r="D40" s="26"/>
      <c r="E40" s="27"/>
      <c r="F40" s="26"/>
      <c r="G40" s="28"/>
      <c r="H40" s="28"/>
      <c r="I40" s="35"/>
      <c r="J40" s="36"/>
      <c r="K40" s="6"/>
      <c r="L40" s="6"/>
    </row>
    <row r="41" spans="1:12" s="4" customFormat="1" ht="19.5" customHeight="1">
      <c r="A41" s="24" t="s">
        <v>33</v>
      </c>
      <c r="B41" s="25"/>
      <c r="C41" s="25"/>
      <c r="D41" s="26"/>
      <c r="E41" s="27"/>
      <c r="F41" s="26"/>
      <c r="G41" s="28"/>
      <c r="H41" s="28"/>
      <c r="I41" s="35"/>
      <c r="J41" s="36"/>
      <c r="K41" s="108"/>
      <c r="L41" s="6"/>
    </row>
    <row r="42" spans="1:12" ht="26.25" customHeight="1">
      <c r="A42" s="145" t="s">
        <v>104</v>
      </c>
      <c r="B42" s="146"/>
      <c r="C42" s="147"/>
      <c r="D42" s="26"/>
      <c r="E42" s="27">
        <v>1</v>
      </c>
      <c r="F42" s="34" t="s">
        <v>31</v>
      </c>
      <c r="G42" s="28">
        <v>400</v>
      </c>
      <c r="H42" s="28">
        <f>IF(E42*G42,+E42*G42,"        ")</f>
        <v>400</v>
      </c>
      <c r="I42" s="35">
        <f>E42/B$9</f>
        <v>0.21691973969631234</v>
      </c>
      <c r="J42" s="36">
        <f>H42/H$96</f>
        <v>0.06821955018957372</v>
      </c>
      <c r="K42" s="6"/>
      <c r="L42" s="6"/>
    </row>
    <row r="43" spans="1:12" ht="12.75">
      <c r="A43" s="31" t="s">
        <v>102</v>
      </c>
      <c r="B43" s="25"/>
      <c r="C43" s="61"/>
      <c r="D43" s="26"/>
      <c r="E43" s="27">
        <v>1</v>
      </c>
      <c r="F43" s="34" t="s">
        <v>31</v>
      </c>
      <c r="G43" s="28">
        <v>220</v>
      </c>
      <c r="H43" s="28">
        <f>IF(E43*G43,+E43*G43,"        ")</f>
        <v>220</v>
      </c>
      <c r="I43" s="35">
        <f>E43/B$9</f>
        <v>0.21691973969631234</v>
      </c>
      <c r="J43" s="36">
        <f>H43/H$96</f>
        <v>0.037520752604265545</v>
      </c>
      <c r="K43" s="6"/>
      <c r="L43" s="6"/>
    </row>
    <row r="44" spans="1:12" ht="12.75">
      <c r="A44" s="31" t="s">
        <v>103</v>
      </c>
      <c r="B44" s="25"/>
      <c r="C44" s="62"/>
      <c r="D44" s="26"/>
      <c r="E44" s="27">
        <v>1</v>
      </c>
      <c r="F44" s="34" t="s">
        <v>31</v>
      </c>
      <c r="G44" s="28">
        <v>175</v>
      </c>
      <c r="H44" s="28">
        <f>IF(E44*G44,+E44*G44,"        ")</f>
        <v>175</v>
      </c>
      <c r="I44" s="35">
        <f>E44/B$9</f>
        <v>0.21691973969631234</v>
      </c>
      <c r="J44" s="36">
        <f>H44/H$96</f>
        <v>0.029846053207938504</v>
      </c>
      <c r="K44" s="6"/>
      <c r="L44" s="6"/>
    </row>
    <row r="45" spans="1:10" ht="12.75">
      <c r="A45" s="31" t="s">
        <v>34</v>
      </c>
      <c r="B45" s="25"/>
      <c r="C45" s="61"/>
      <c r="D45" s="26" t="s">
        <v>35</v>
      </c>
      <c r="E45" s="27">
        <v>0.0937</v>
      </c>
      <c r="F45" s="34" t="s">
        <v>32</v>
      </c>
      <c r="G45" s="28">
        <v>200</v>
      </c>
      <c r="H45" s="28">
        <f>IF(E45*G45,+E45*G45,"        ")</f>
        <v>18.740000000000002</v>
      </c>
      <c r="I45" s="35">
        <f>E45/B$9</f>
        <v>0.020325379609544468</v>
      </c>
      <c r="J45" s="36">
        <f>H45/H$96</f>
        <v>0.003196085926381529</v>
      </c>
    </row>
    <row r="46" spans="1:10" ht="12.75">
      <c r="A46" s="31" t="s">
        <v>74</v>
      </c>
      <c r="B46" s="25"/>
      <c r="C46" s="61"/>
      <c r="D46" s="26"/>
      <c r="E46" s="27">
        <v>0.095</v>
      </c>
      <c r="F46" s="34" t="s">
        <v>32</v>
      </c>
      <c r="G46" s="28">
        <f>B$12</f>
        <v>550</v>
      </c>
      <c r="H46" s="28">
        <f>IF(E46*G46,+E46*G46,"        ")</f>
        <v>52.25</v>
      </c>
      <c r="I46" s="35">
        <f>E46/B$9</f>
        <v>0.020607375271149673</v>
      </c>
      <c r="J46" s="36">
        <f>H46/H$96</f>
        <v>0.008911178743513068</v>
      </c>
    </row>
    <row r="47" spans="1:10" ht="0.75" customHeight="1" hidden="1">
      <c r="A47" s="31"/>
      <c r="B47" s="25"/>
      <c r="C47" s="61"/>
      <c r="D47" s="26"/>
      <c r="E47" s="27"/>
      <c r="F47" s="34"/>
      <c r="G47" s="28"/>
      <c r="H47" s="28"/>
      <c r="I47" s="35"/>
      <c r="J47" s="36"/>
    </row>
    <row r="48" spans="1:10" ht="12.75">
      <c r="A48" s="31" t="s">
        <v>36</v>
      </c>
      <c r="B48" s="25"/>
      <c r="C48" s="61"/>
      <c r="D48" s="26"/>
      <c r="E48" s="27"/>
      <c r="F48" s="34"/>
      <c r="G48" s="28"/>
      <c r="H48" s="28"/>
      <c r="I48" s="35"/>
      <c r="J48" s="36"/>
    </row>
    <row r="49" spans="1:10" ht="12.75">
      <c r="A49" s="31" t="s">
        <v>67</v>
      </c>
      <c r="B49" s="25"/>
      <c r="C49" s="25"/>
      <c r="D49" s="26"/>
      <c r="E49" s="27">
        <v>0.0625</v>
      </c>
      <c r="F49" s="34" t="s">
        <v>32</v>
      </c>
      <c r="G49" s="28">
        <f>B$12</f>
        <v>550</v>
      </c>
      <c r="H49" s="28">
        <f>IF(E49*G49,+E49*G49,"        ")</f>
        <v>34.375</v>
      </c>
      <c r="I49" s="35">
        <f>E49/B$9</f>
        <v>0.013557483731019521</v>
      </c>
      <c r="J49" s="36">
        <f>H49/H$96</f>
        <v>0.005862617594416491</v>
      </c>
    </row>
    <row r="50" spans="1:10" s="3" customFormat="1" ht="12.75">
      <c r="A50" s="31" t="s">
        <v>71</v>
      </c>
      <c r="B50" s="25"/>
      <c r="C50" s="25"/>
      <c r="D50" s="26"/>
      <c r="E50" s="27"/>
      <c r="F50" s="34"/>
      <c r="G50" s="28"/>
      <c r="H50" s="28"/>
      <c r="I50" s="35"/>
      <c r="J50" s="36"/>
    </row>
    <row r="51" spans="1:10" ht="12.75">
      <c r="A51" s="31" t="s">
        <v>37</v>
      </c>
      <c r="B51" s="25"/>
      <c r="C51" s="25"/>
      <c r="D51" s="26"/>
      <c r="E51" s="27"/>
      <c r="F51" s="34"/>
      <c r="G51" s="28"/>
      <c r="H51" s="28"/>
      <c r="I51" s="35"/>
      <c r="J51" s="36"/>
    </row>
    <row r="52" spans="1:10" ht="12.75">
      <c r="A52" s="31" t="s">
        <v>68</v>
      </c>
      <c r="B52" s="25"/>
      <c r="C52" s="61"/>
      <c r="D52" s="26"/>
      <c r="E52" s="27">
        <v>0.1362</v>
      </c>
      <c r="F52" s="34" t="s">
        <v>32</v>
      </c>
      <c r="G52" s="28">
        <f>B$12</f>
        <v>550</v>
      </c>
      <c r="H52" s="28">
        <f>IF(E52*G52,+E52*G52,"        ")</f>
        <v>74.91</v>
      </c>
      <c r="I52" s="35">
        <f>E52/B$9</f>
        <v>0.02954446854663774</v>
      </c>
      <c r="J52" s="36">
        <f>H52/H$96</f>
        <v>0.012775816261752417</v>
      </c>
    </row>
    <row r="53" spans="1:10" ht="12.75">
      <c r="A53" s="31" t="s">
        <v>69</v>
      </c>
      <c r="B53" s="25"/>
      <c r="C53" s="61"/>
      <c r="D53" s="26"/>
      <c r="E53" s="27"/>
      <c r="F53" s="34"/>
      <c r="G53" s="28"/>
      <c r="H53" s="28"/>
      <c r="I53" s="35"/>
      <c r="J53" s="36"/>
    </row>
    <row r="54" spans="1:10" ht="8.25" customHeight="1">
      <c r="A54" s="31"/>
      <c r="B54" s="25"/>
      <c r="C54" s="62"/>
      <c r="D54" s="26"/>
      <c r="E54" s="27"/>
      <c r="F54" s="34"/>
      <c r="G54" s="28"/>
      <c r="H54" s="28"/>
      <c r="I54" s="35"/>
      <c r="J54" s="36"/>
    </row>
    <row r="55" spans="1:10" ht="12.75">
      <c r="A55" s="31" t="s">
        <v>38</v>
      </c>
      <c r="B55" s="25"/>
      <c r="C55" s="61"/>
      <c r="D55" s="26"/>
      <c r="E55" s="27"/>
      <c r="F55" s="34"/>
      <c r="G55" s="28"/>
      <c r="H55" s="28"/>
      <c r="I55" s="35"/>
      <c r="J55" s="36"/>
    </row>
    <row r="56" spans="1:10" ht="12.75">
      <c r="A56" s="31" t="s">
        <v>73</v>
      </c>
      <c r="B56" s="25"/>
      <c r="C56" s="61"/>
      <c r="D56" s="26"/>
      <c r="E56" s="27">
        <v>0.075</v>
      </c>
      <c r="F56" s="34" t="s">
        <v>32</v>
      </c>
      <c r="G56" s="28">
        <f>B$12</f>
        <v>550</v>
      </c>
      <c r="H56" s="28">
        <f>IF(E56*G56,+E56*G56,"        ")</f>
        <v>41.25</v>
      </c>
      <c r="I56" s="35">
        <f>E56/B$9</f>
        <v>0.016268980477223426</v>
      </c>
      <c r="J56" s="36">
        <f>H56/H$96</f>
        <v>0.00703514111329979</v>
      </c>
    </row>
    <row r="57" spans="1:10" ht="13.5" thickBot="1">
      <c r="A57" s="39" t="s">
        <v>39</v>
      </c>
      <c r="B57" s="40"/>
      <c r="C57" s="69"/>
      <c r="D57" s="41"/>
      <c r="E57" s="42"/>
      <c r="F57" s="43"/>
      <c r="G57" s="44"/>
      <c r="H57" s="44"/>
      <c r="I57" s="45"/>
      <c r="J57" s="46"/>
    </row>
    <row r="58" spans="1:10" ht="19.5" customHeight="1">
      <c r="A58" s="133" t="s">
        <v>118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13.5" thickBot="1">
      <c r="A59" s="77"/>
      <c r="B59" s="40"/>
      <c r="C59" s="69"/>
      <c r="D59" s="78"/>
      <c r="E59" s="79"/>
      <c r="F59" s="80"/>
      <c r="G59" s="81"/>
      <c r="H59" s="81"/>
      <c r="I59" s="82"/>
      <c r="J59" s="83"/>
    </row>
    <row r="60" spans="1:10" ht="12.75">
      <c r="A60" s="31"/>
      <c r="B60" s="25"/>
      <c r="C60" s="61"/>
      <c r="D60" s="26"/>
      <c r="E60" s="27"/>
      <c r="F60" s="34"/>
      <c r="G60" s="28"/>
      <c r="H60" s="28"/>
      <c r="I60" s="35"/>
      <c r="J60" s="36"/>
    </row>
    <row r="61" spans="1:10" ht="12.75">
      <c r="A61" s="31" t="s">
        <v>115</v>
      </c>
      <c r="B61" s="25"/>
      <c r="C61" s="61"/>
      <c r="D61" s="26" t="s">
        <v>40</v>
      </c>
      <c r="E61" s="27">
        <v>0.095</v>
      </c>
      <c r="F61" s="34" t="s">
        <v>32</v>
      </c>
      <c r="G61" s="28">
        <f>B$12</f>
        <v>550</v>
      </c>
      <c r="H61" s="28">
        <f>IF(E61*G61,+E61*G61,"        ")</f>
        <v>52.25</v>
      </c>
      <c r="I61" s="35">
        <f>E61/B$9</f>
        <v>0.020607375271149673</v>
      </c>
      <c r="J61" s="36">
        <f>H61/H$96</f>
        <v>0.008911178743513068</v>
      </c>
    </row>
    <row r="62" spans="1:10" ht="12.75">
      <c r="A62" s="31"/>
      <c r="B62" s="25"/>
      <c r="C62" s="25"/>
      <c r="D62" s="26"/>
      <c r="E62" s="27"/>
      <c r="F62" s="34"/>
      <c r="G62" s="28"/>
      <c r="H62" s="28"/>
      <c r="I62" s="35"/>
      <c r="J62" s="36"/>
    </row>
    <row r="63" spans="1:10" ht="12.75">
      <c r="A63" s="31" t="s">
        <v>41</v>
      </c>
      <c r="B63" s="25"/>
      <c r="C63" s="25"/>
      <c r="D63" s="26"/>
      <c r="E63" s="27">
        <v>0.5375</v>
      </c>
      <c r="F63" s="34" t="s">
        <v>32</v>
      </c>
      <c r="G63" s="28">
        <f>B$12</f>
        <v>550</v>
      </c>
      <c r="H63" s="28">
        <f>IF(E63*G63,+E63*G63,"        ")</f>
        <v>295.625</v>
      </c>
      <c r="I63" s="35">
        <f>E63/B$9</f>
        <v>0.11659436008676788</v>
      </c>
      <c r="J63" s="36">
        <f>H63/H$96</f>
        <v>0.05041851131198183</v>
      </c>
    </row>
    <row r="64" spans="1:10" ht="9" customHeight="1">
      <c r="A64" s="37"/>
      <c r="B64" s="25"/>
      <c r="C64" s="25"/>
      <c r="D64" s="26"/>
      <c r="E64" s="27"/>
      <c r="F64" s="26"/>
      <c r="G64" s="28"/>
      <c r="H64" s="38"/>
      <c r="I64" s="35"/>
      <c r="J64" s="36"/>
    </row>
    <row r="65" spans="1:10" ht="12.75">
      <c r="A65" s="31" t="s">
        <v>42</v>
      </c>
      <c r="B65" s="25"/>
      <c r="C65" s="25"/>
      <c r="D65" s="26"/>
      <c r="E65" s="27"/>
      <c r="F65" s="34"/>
      <c r="G65" s="28"/>
      <c r="H65" s="28"/>
      <c r="I65" s="35"/>
      <c r="J65" s="36"/>
    </row>
    <row r="66" spans="1:10" ht="12.75">
      <c r="A66" s="31" t="s">
        <v>67</v>
      </c>
      <c r="B66" s="25"/>
      <c r="C66" s="61"/>
      <c r="D66" s="26"/>
      <c r="E66" s="27">
        <v>0.0625</v>
      </c>
      <c r="F66" s="34" t="s">
        <v>32</v>
      </c>
      <c r="G66" s="28">
        <f>B$12</f>
        <v>550</v>
      </c>
      <c r="H66" s="28">
        <f>IF(E66*G66,+E66*G66,"        ")</f>
        <v>34.375</v>
      </c>
      <c r="I66" s="35">
        <f>E66/B$9</f>
        <v>0.013557483731019521</v>
      </c>
      <c r="J66" s="36">
        <f>H66/H$96</f>
        <v>0.005862617594416491</v>
      </c>
    </row>
    <row r="67" spans="1:10" ht="12.75">
      <c r="A67" s="31" t="s">
        <v>43</v>
      </c>
      <c r="B67" s="25"/>
      <c r="C67" s="61"/>
      <c r="D67" s="26"/>
      <c r="E67" s="27"/>
      <c r="F67" s="34"/>
      <c r="G67" s="28"/>
      <c r="H67" s="28"/>
      <c r="I67" s="35"/>
      <c r="J67" s="36"/>
    </row>
    <row r="68" spans="1:10" ht="6.75" customHeight="1">
      <c r="A68" s="31"/>
      <c r="B68" s="25"/>
      <c r="C68" s="61"/>
      <c r="D68" s="26"/>
      <c r="E68" s="27"/>
      <c r="F68" s="34"/>
      <c r="G68" s="28"/>
      <c r="H68" s="28"/>
      <c r="I68" s="35"/>
      <c r="J68" s="36"/>
    </row>
    <row r="69" spans="1:10" ht="12.75">
      <c r="A69" s="31" t="s">
        <v>116</v>
      </c>
      <c r="B69" s="25"/>
      <c r="C69" s="61"/>
      <c r="D69" s="26" t="s">
        <v>44</v>
      </c>
      <c r="E69" s="27">
        <v>0.095</v>
      </c>
      <c r="F69" s="34" t="s">
        <v>32</v>
      </c>
      <c r="G69" s="28">
        <f>B$12</f>
        <v>550</v>
      </c>
      <c r="H69" s="28">
        <f>IF(E69*G69,+E69*G69,"        ")</f>
        <v>52.25</v>
      </c>
      <c r="I69" s="35">
        <f>E69/B$9</f>
        <v>0.020607375271149673</v>
      </c>
      <c r="J69" s="36">
        <f>H69/H$96</f>
        <v>0.008911178743513068</v>
      </c>
    </row>
    <row r="70" spans="1:10" ht="12.75">
      <c r="A70" s="31"/>
      <c r="B70" s="25"/>
      <c r="C70" s="61"/>
      <c r="D70" s="26"/>
      <c r="E70" s="27"/>
      <c r="F70" s="34"/>
      <c r="G70" s="28"/>
      <c r="H70" s="28"/>
      <c r="I70" s="35"/>
      <c r="J70" s="36"/>
    </row>
    <row r="71" spans="1:10" ht="12.75">
      <c r="A71" s="31" t="s">
        <v>85</v>
      </c>
      <c r="B71" s="25"/>
      <c r="C71" s="25"/>
      <c r="D71" s="26"/>
      <c r="E71" s="27">
        <v>0.5375</v>
      </c>
      <c r="F71" s="34" t="s">
        <v>32</v>
      </c>
      <c r="G71" s="28">
        <f>B$12</f>
        <v>550</v>
      </c>
      <c r="H71" s="28">
        <f>IF(E71*G71,+E71*G71,"        ")</f>
        <v>295.625</v>
      </c>
      <c r="I71" s="35">
        <f>E71/B$9</f>
        <v>0.11659436008676788</v>
      </c>
      <c r="J71" s="36">
        <f>H71/H$96</f>
        <v>0.05041851131198183</v>
      </c>
    </row>
    <row r="72" spans="1:10" ht="12.75">
      <c r="A72" s="31" t="s">
        <v>86</v>
      </c>
      <c r="B72" s="25"/>
      <c r="C72" s="61"/>
      <c r="D72" s="26"/>
      <c r="E72" s="27"/>
      <c r="F72" s="34"/>
      <c r="G72" s="28"/>
      <c r="H72" s="28"/>
      <c r="I72" s="35"/>
      <c r="J72" s="36"/>
    </row>
    <row r="73" spans="1:10" ht="12.75">
      <c r="A73" s="31" t="s">
        <v>72</v>
      </c>
      <c r="B73" s="25"/>
      <c r="C73" s="61"/>
      <c r="D73" s="26"/>
      <c r="E73" s="27">
        <v>0.0625</v>
      </c>
      <c r="F73" s="34" t="s">
        <v>32</v>
      </c>
      <c r="G73" s="28">
        <f>B$12</f>
        <v>550</v>
      </c>
      <c r="H73" s="28">
        <f>IF(E73*G73,+E73*G73,"        ")</f>
        <v>34.375</v>
      </c>
      <c r="I73" s="35">
        <f>E73/B$9</f>
        <v>0.013557483731019521</v>
      </c>
      <c r="J73" s="36">
        <f>H73/H$96</f>
        <v>0.005862617594416491</v>
      </c>
    </row>
    <row r="74" spans="1:10" ht="9.75" customHeight="1">
      <c r="A74" s="31"/>
      <c r="B74" s="25"/>
      <c r="C74" s="61"/>
      <c r="D74" s="26"/>
      <c r="E74" s="27"/>
      <c r="F74" s="34"/>
      <c r="G74" s="28"/>
      <c r="H74" s="28"/>
      <c r="I74" s="35"/>
      <c r="J74" s="36"/>
    </row>
    <row r="75" spans="1:10" ht="12.75">
      <c r="A75" s="31" t="s">
        <v>87</v>
      </c>
      <c r="B75" s="25"/>
      <c r="C75" s="61"/>
      <c r="D75" s="26"/>
      <c r="E75" s="27"/>
      <c r="F75" s="34"/>
      <c r="G75" s="28"/>
      <c r="H75" s="28"/>
      <c r="I75" s="35"/>
      <c r="J75" s="36"/>
    </row>
    <row r="76" spans="1:10" s="3" customFormat="1" ht="12.75">
      <c r="A76" s="31" t="s">
        <v>70</v>
      </c>
      <c r="B76" s="25"/>
      <c r="C76" s="61"/>
      <c r="D76" s="26"/>
      <c r="E76" s="27">
        <v>0.0513</v>
      </c>
      <c r="F76" s="34" t="s">
        <v>32</v>
      </c>
      <c r="G76" s="28">
        <f>B$12</f>
        <v>550</v>
      </c>
      <c r="H76" s="28">
        <f>IF(E76*G76,+E76*G76,"        ")</f>
        <v>28.215</v>
      </c>
      <c r="I76" s="35">
        <f>E76/B$9</f>
        <v>0.011127982646420823</v>
      </c>
      <c r="J76" s="36">
        <f>H76/H$96</f>
        <v>0.004812036521497056</v>
      </c>
    </row>
    <row r="77" spans="1:10" s="3" customFormat="1" ht="7.5" customHeight="1">
      <c r="A77" s="31"/>
      <c r="B77" s="25"/>
      <c r="C77" s="25"/>
      <c r="D77" s="26"/>
      <c r="E77" s="27"/>
      <c r="F77" s="34"/>
      <c r="G77" s="28"/>
      <c r="H77" s="28"/>
      <c r="I77" s="35"/>
      <c r="J77" s="36"/>
    </row>
    <row r="78" spans="1:10" ht="7.5" customHeight="1">
      <c r="A78" s="31"/>
      <c r="B78" s="25"/>
      <c r="C78" s="61"/>
      <c r="D78" s="26"/>
      <c r="E78" s="27"/>
      <c r="F78" s="34"/>
      <c r="G78" s="28"/>
      <c r="H78" s="28"/>
      <c r="I78" s="35"/>
      <c r="J78" s="36"/>
    </row>
    <row r="79" spans="1:10" ht="12.75">
      <c r="A79" s="31" t="s">
        <v>117</v>
      </c>
      <c r="B79" s="25"/>
      <c r="C79" s="61"/>
      <c r="D79" s="26" t="s">
        <v>45</v>
      </c>
      <c r="E79" s="27">
        <v>0.095</v>
      </c>
      <c r="F79" s="34" t="s">
        <v>32</v>
      </c>
      <c r="G79" s="28">
        <f>B$12</f>
        <v>550</v>
      </c>
      <c r="H79" s="28">
        <f>IF(E79*G79,+E79*G79,"        ")</f>
        <v>52.25</v>
      </c>
      <c r="I79" s="35">
        <f>E79/B$9</f>
        <v>0.020607375271149673</v>
      </c>
      <c r="J79" s="36">
        <f>H79/H$96</f>
        <v>0.008911178743513068</v>
      </c>
    </row>
    <row r="80" spans="1:10" ht="9" customHeight="1">
      <c r="A80" s="31"/>
      <c r="B80" s="25"/>
      <c r="C80" s="61"/>
      <c r="D80" s="26"/>
      <c r="E80" s="27"/>
      <c r="F80" s="34"/>
      <c r="G80" s="28"/>
      <c r="H80" s="28"/>
      <c r="I80" s="35"/>
      <c r="J80" s="36"/>
    </row>
    <row r="81" spans="1:10" ht="12.75">
      <c r="A81" s="31" t="s">
        <v>88</v>
      </c>
      <c r="B81" s="25"/>
      <c r="C81" s="61"/>
      <c r="D81" s="26"/>
      <c r="E81" s="27">
        <v>0.5375</v>
      </c>
      <c r="F81" s="34" t="s">
        <v>32</v>
      </c>
      <c r="G81" s="28">
        <f>B$12</f>
        <v>550</v>
      </c>
      <c r="H81" s="28">
        <f>IF(E81*G81,+E81*G81,"        ")</f>
        <v>295.625</v>
      </c>
      <c r="I81" s="35">
        <f>E81/B$9</f>
        <v>0.11659436008676788</v>
      </c>
      <c r="J81" s="36">
        <f>H81/H$96</f>
        <v>0.05041851131198183</v>
      </c>
    </row>
    <row r="82" spans="1:10" ht="6.75" customHeight="1">
      <c r="A82" s="31"/>
      <c r="B82" s="25"/>
      <c r="C82" s="61"/>
      <c r="D82" s="26"/>
      <c r="E82" s="27"/>
      <c r="F82" s="34"/>
      <c r="G82" s="28"/>
      <c r="H82" s="28"/>
      <c r="I82" s="35"/>
      <c r="J82" s="36"/>
    </row>
    <row r="83" spans="1:10" ht="12.75">
      <c r="A83" s="31" t="s">
        <v>89</v>
      </c>
      <c r="B83" s="25"/>
      <c r="C83" s="25"/>
      <c r="D83" s="26"/>
      <c r="E83" s="27"/>
      <c r="F83" s="34"/>
      <c r="G83" s="28"/>
      <c r="H83" s="28"/>
      <c r="I83" s="35"/>
      <c r="J83" s="36"/>
    </row>
    <row r="84" spans="1:10" ht="12.75">
      <c r="A84" s="31" t="s">
        <v>93</v>
      </c>
      <c r="B84" s="25"/>
      <c r="C84" s="61"/>
      <c r="D84" s="26"/>
      <c r="E84" s="27">
        <v>0.0513</v>
      </c>
      <c r="F84" s="34" t="s">
        <v>32</v>
      </c>
      <c r="G84" s="28">
        <f>B$12</f>
        <v>550</v>
      </c>
      <c r="H84" s="28">
        <f>IF(E84*G84,+E84*G84,"        ")</f>
        <v>28.215</v>
      </c>
      <c r="I84" s="35">
        <f>E84/B$9</f>
        <v>0.011127982646420823</v>
      </c>
      <c r="J84" s="36">
        <f>H84/H$96</f>
        <v>0.004812036521497056</v>
      </c>
    </row>
    <row r="85" spans="1:10" ht="6" customHeight="1">
      <c r="A85" s="31"/>
      <c r="B85" s="25"/>
      <c r="C85" s="61"/>
      <c r="D85" s="26"/>
      <c r="E85" s="27"/>
      <c r="F85" s="34"/>
      <c r="G85" s="28"/>
      <c r="H85" s="28"/>
      <c r="I85" s="35"/>
      <c r="J85" s="36"/>
    </row>
    <row r="86" spans="1:10" ht="12.75">
      <c r="A86" s="37" t="s">
        <v>90</v>
      </c>
      <c r="B86" s="25"/>
      <c r="C86" s="25"/>
      <c r="D86" s="26"/>
      <c r="E86" s="27">
        <v>0.05</v>
      </c>
      <c r="F86" s="34" t="s">
        <v>32</v>
      </c>
      <c r="G86" s="28">
        <f>B$12</f>
        <v>550</v>
      </c>
      <c r="H86" s="28">
        <f>IF(E86*G86,+E86*G86,"        ")</f>
        <v>27.5</v>
      </c>
      <c r="I86" s="35">
        <f>E86/B$9</f>
        <v>0.010845986984815618</v>
      </c>
      <c r="J86" s="36">
        <f>H86/H$96</f>
        <v>0.004690094075533193</v>
      </c>
    </row>
    <row r="87" spans="1:10" ht="6" customHeight="1">
      <c r="A87" s="37"/>
      <c r="B87" s="25"/>
      <c r="C87" s="25"/>
      <c r="D87" s="26"/>
      <c r="E87" s="47"/>
      <c r="F87" s="26"/>
      <c r="G87" s="28"/>
      <c r="H87" s="47"/>
      <c r="I87" s="35"/>
      <c r="J87" s="36"/>
    </row>
    <row r="88" spans="1:10" ht="12.75">
      <c r="A88" s="31" t="s">
        <v>91</v>
      </c>
      <c r="B88" s="25"/>
      <c r="C88" s="25"/>
      <c r="D88" s="34" t="s">
        <v>46</v>
      </c>
      <c r="E88" s="27">
        <v>1</v>
      </c>
      <c r="F88" s="34" t="s">
        <v>31</v>
      </c>
      <c r="G88" s="28">
        <v>650</v>
      </c>
      <c r="H88" s="28">
        <f>IF(E88*G88,+E88*G88,"        ")</f>
        <v>650</v>
      </c>
      <c r="I88" s="35">
        <f>E88/B$9</f>
        <v>0.21691973969631234</v>
      </c>
      <c r="J88" s="36">
        <f>H88/H$96</f>
        <v>0.1108567690580573</v>
      </c>
    </row>
    <row r="89" spans="1:10" ht="3.75" customHeight="1">
      <c r="A89" s="37"/>
      <c r="B89" s="25"/>
      <c r="C89" s="25"/>
      <c r="D89" s="26"/>
      <c r="E89" s="47"/>
      <c r="F89" s="26"/>
      <c r="G89" s="28"/>
      <c r="H89" s="47"/>
      <c r="I89" s="35"/>
      <c r="J89" s="36"/>
    </row>
    <row r="90" spans="1:10" ht="13.5" thickBot="1">
      <c r="A90" s="39" t="s">
        <v>92</v>
      </c>
      <c r="B90" s="40"/>
      <c r="C90" s="40"/>
      <c r="D90" s="41"/>
      <c r="E90" s="42">
        <v>0.4175</v>
      </c>
      <c r="F90" s="43" t="s">
        <v>32</v>
      </c>
      <c r="G90" s="44">
        <f>B$12</f>
        <v>550</v>
      </c>
      <c r="H90" s="44">
        <f>IF(E90*G90,+E90*G90,"        ")</f>
        <v>229.625</v>
      </c>
      <c r="I90" s="45">
        <f>E90/B$9</f>
        <v>0.0905639913232104</v>
      </c>
      <c r="J90" s="46">
        <f>H90/H$96</f>
        <v>0.03916228553070216</v>
      </c>
    </row>
    <row r="91" spans="1:10" s="3" customFormat="1" ht="13.5" thickBot="1">
      <c r="A91" s="23"/>
      <c r="B91" s="23"/>
      <c r="C91" s="23"/>
      <c r="D91" s="63"/>
      <c r="E91" s="23"/>
      <c r="F91" s="23"/>
      <c r="G91" s="23"/>
      <c r="H91" s="23"/>
      <c r="I91" s="25"/>
      <c r="J91" s="25"/>
    </row>
    <row r="92" spans="1:10" ht="12.75">
      <c r="A92" s="48" t="s">
        <v>47</v>
      </c>
      <c r="B92" s="49"/>
      <c r="C92" s="50"/>
      <c r="D92" s="51"/>
      <c r="E92" s="52"/>
      <c r="F92" s="49"/>
      <c r="G92" s="53"/>
      <c r="H92" s="54">
        <f>+SUM(H20:H90)</f>
        <v>5527.358439594358</v>
      </c>
      <c r="I92" s="25"/>
      <c r="J92" s="4"/>
    </row>
    <row r="93" spans="1:10" ht="12.75">
      <c r="A93" s="31" t="s">
        <v>48</v>
      </c>
      <c r="B93" s="25"/>
      <c r="C93" s="23"/>
      <c r="D93" s="23"/>
      <c r="E93" s="23"/>
      <c r="F93" s="23"/>
      <c r="G93" s="55"/>
      <c r="H93" s="56">
        <f>(H92*0.02)</f>
        <v>110.54716879188716</v>
      </c>
      <c r="I93" s="148"/>
      <c r="J93" s="4"/>
    </row>
    <row r="94" spans="1:10" ht="12.75">
      <c r="A94" s="31" t="s">
        <v>49</v>
      </c>
      <c r="B94" s="25"/>
      <c r="C94" s="23"/>
      <c r="D94" s="23"/>
      <c r="E94" s="23"/>
      <c r="F94" s="23"/>
      <c r="G94" s="55"/>
      <c r="H94" s="57">
        <v>0</v>
      </c>
      <c r="I94" s="64">
        <f>+H93+H95</f>
        <v>336.06339312733695</v>
      </c>
      <c r="J94" s="65"/>
    </row>
    <row r="95" spans="1:10" ht="12.75">
      <c r="A95" s="31" t="s">
        <v>121</v>
      </c>
      <c r="B95" s="25"/>
      <c r="C95" s="25"/>
      <c r="D95" s="25"/>
      <c r="E95" s="25"/>
      <c r="F95" s="25"/>
      <c r="G95" s="25"/>
      <c r="H95" s="57">
        <f>SUM(H92:H93)*0.04</f>
        <v>225.5162243354498</v>
      </c>
      <c r="I95" s="149"/>
      <c r="J95" s="73"/>
    </row>
    <row r="96" spans="1:11" ht="15.75" customHeight="1" thickBot="1">
      <c r="A96" s="104" t="s">
        <v>50</v>
      </c>
      <c r="B96" s="105"/>
      <c r="C96" s="105"/>
      <c r="D96" s="105"/>
      <c r="E96" s="105"/>
      <c r="F96" s="105"/>
      <c r="G96" s="106"/>
      <c r="H96" s="107">
        <f>SUM(H92:H95)</f>
        <v>5863.421832721695</v>
      </c>
      <c r="I96" s="66">
        <f>+H93+H95</f>
        <v>336.06339312733695</v>
      </c>
      <c r="J96" s="74">
        <f>+H95/H96</f>
        <v>0.038461538461538464</v>
      </c>
      <c r="K96" s="74">
        <f>8/12</f>
        <v>0.6666666666666666</v>
      </c>
    </row>
    <row r="97" spans="1:11" ht="15.75" customHeight="1">
      <c r="A97" s="133" t="s">
        <v>119</v>
      </c>
      <c r="B97" s="133"/>
      <c r="C97" s="133"/>
      <c r="D97" s="133"/>
      <c r="E97" s="133"/>
      <c r="F97" s="133"/>
      <c r="G97" s="133"/>
      <c r="H97" s="133"/>
      <c r="I97" s="133"/>
      <c r="J97" s="133"/>
      <c r="K97" s="74">
        <f>+K96*6</f>
        <v>4</v>
      </c>
    </row>
    <row r="98" spans="1:10" s="3" customFormat="1" ht="14.25" customHeight="1" thickBot="1">
      <c r="A98" s="118"/>
      <c r="B98" s="118"/>
      <c r="C98" s="118"/>
      <c r="D98" s="118"/>
      <c r="E98" s="118"/>
      <c r="F98" s="118"/>
      <c r="G98" s="118"/>
      <c r="H98" s="130">
        <f>SUM(H93:H95)</f>
        <v>336.06339312733695</v>
      </c>
      <c r="I98" s="66"/>
      <c r="J98" s="64">
        <f>+H93+H95</f>
        <v>336.06339312733695</v>
      </c>
    </row>
    <row r="99" spans="1:10" ht="14.25" customHeight="1">
      <c r="A99" s="110" t="s">
        <v>51</v>
      </c>
      <c r="B99" s="111"/>
      <c r="C99" s="112">
        <v>0</v>
      </c>
      <c r="D99" s="113">
        <f>(C99/H96)</f>
        <v>0</v>
      </c>
      <c r="E99" s="114" t="s">
        <v>52</v>
      </c>
      <c r="F99" s="115"/>
      <c r="G99" s="116">
        <f>SUM(H45:H90)+H39</f>
        <v>2408.105</v>
      </c>
      <c r="H99" s="117">
        <f>(G99/H92)</f>
        <v>0.4356701354393666</v>
      </c>
      <c r="I99" s="70">
        <f>+C100+G99+G100+I96</f>
        <v>5863.421832721695</v>
      </c>
      <c r="J99" s="72"/>
    </row>
    <row r="100" spans="1:11" ht="18.75" customHeight="1" thickBot="1">
      <c r="A100" s="119" t="s">
        <v>53</v>
      </c>
      <c r="B100" s="120"/>
      <c r="C100" s="121">
        <f>SUM(H42:H44)</f>
        <v>795</v>
      </c>
      <c r="D100" s="122">
        <f>(C100/H96)</f>
        <v>0.13558635600177776</v>
      </c>
      <c r="E100" s="123" t="s">
        <v>54</v>
      </c>
      <c r="F100" s="124"/>
      <c r="G100" s="125">
        <f>SUM(H20:H38)</f>
        <v>2324.253439594358</v>
      </c>
      <c r="H100" s="126">
        <f>(G100/H92)</f>
        <v>0.4204998581139475</v>
      </c>
      <c r="I100" s="67"/>
      <c r="J100" s="128"/>
      <c r="K100" s="129"/>
    </row>
    <row r="101" spans="1:10" ht="14.25" customHeight="1">
      <c r="A101" s="144" t="s">
        <v>80</v>
      </c>
      <c r="B101" s="144"/>
      <c r="C101" s="144"/>
      <c r="D101" s="144"/>
      <c r="E101" s="144"/>
      <c r="F101" s="144"/>
      <c r="G101" s="144"/>
      <c r="H101" s="144"/>
      <c r="I101" s="144"/>
      <c r="J101" s="144"/>
    </row>
    <row r="102" spans="1:10" ht="14.25" customHeight="1">
      <c r="A102" s="68" t="s">
        <v>84</v>
      </c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10" s="2" customFormat="1" ht="42" customHeight="1">
      <c r="A103" s="143" t="s">
        <v>125</v>
      </c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1:10" s="2" customFormat="1" ht="15.75" customHeight="1">
      <c r="A104" s="141" t="s">
        <v>81</v>
      </c>
      <c r="B104" s="141"/>
      <c r="C104" s="141"/>
      <c r="D104" s="141"/>
      <c r="E104" s="141"/>
      <c r="F104" s="141"/>
      <c r="G104" s="141"/>
      <c r="H104" s="141"/>
      <c r="I104" s="141"/>
      <c r="J104" s="141"/>
    </row>
    <row r="105" spans="1:10" s="2" customFormat="1" ht="15" customHeight="1">
      <c r="A105" s="142" t="s">
        <v>78</v>
      </c>
      <c r="B105" s="142"/>
      <c r="C105" s="142"/>
      <c r="D105" s="142"/>
      <c r="E105" s="142"/>
      <c r="F105" s="142"/>
      <c r="G105" s="142"/>
      <c r="H105" s="142"/>
      <c r="I105" s="142"/>
      <c r="J105" s="142"/>
    </row>
    <row r="106" spans="1:10" s="2" customFormat="1" ht="12.75" customHeight="1">
      <c r="A106" s="132" t="s">
        <v>79</v>
      </c>
      <c r="B106" s="132"/>
      <c r="C106" s="132"/>
      <c r="D106" s="132"/>
      <c r="E106" s="132"/>
      <c r="F106" s="132"/>
      <c r="G106" s="132"/>
      <c r="H106" s="132"/>
      <c r="I106" s="132"/>
      <c r="J106" s="132"/>
    </row>
    <row r="107" spans="1:10" s="2" customFormat="1" ht="13.5">
      <c r="A107" s="132" t="s">
        <v>82</v>
      </c>
      <c r="B107" s="132"/>
      <c r="C107" s="132"/>
      <c r="D107" s="132"/>
      <c r="E107" s="132"/>
      <c r="F107" s="132"/>
      <c r="G107" s="132"/>
      <c r="H107" s="132"/>
      <c r="I107" s="132"/>
      <c r="J107" s="132"/>
    </row>
    <row r="108" spans="1:10" s="2" customFormat="1" ht="13.5">
      <c r="A108" s="75" t="s">
        <v>83</v>
      </c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s="2" customFormat="1" ht="13.5">
      <c r="A109" s="133" t="s">
        <v>120</v>
      </c>
      <c r="B109" s="133"/>
      <c r="C109" s="133"/>
      <c r="D109" s="133"/>
      <c r="E109" s="133"/>
      <c r="F109" s="133"/>
      <c r="G109" s="133"/>
      <c r="H109" s="133"/>
      <c r="I109" s="133"/>
      <c r="J109" s="133"/>
    </row>
    <row r="110" spans="1:10" s="2" customFormat="1" ht="13.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4"/>
      <c r="B111" s="4"/>
      <c r="C111" s="4"/>
      <c r="D111" s="76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</sheetData>
  <sheetProtection/>
  <mergeCells count="14">
    <mergeCell ref="A1:J1"/>
    <mergeCell ref="A104:J104"/>
    <mergeCell ref="A105:J105"/>
    <mergeCell ref="A103:J103"/>
    <mergeCell ref="A101:J101"/>
    <mergeCell ref="A58:J58"/>
    <mergeCell ref="A97:J97"/>
    <mergeCell ref="A42:C42"/>
    <mergeCell ref="A127:J127"/>
    <mergeCell ref="A106:J106"/>
    <mergeCell ref="A107:J107"/>
    <mergeCell ref="A109:J109"/>
    <mergeCell ref="I14:I18"/>
    <mergeCell ref="J14:J18"/>
  </mergeCells>
  <printOptions/>
  <pageMargins left="0.7874015748031497" right="0.2755905511811024" top="0.6692913385826772" bottom="1.4960629921259843" header="0" footer="1.1023622047244095"/>
  <pageSetup horizontalDpi="300" verticalDpi="300" orientation="portrait" scale="85" r:id="rId1"/>
  <rowBreaks count="2" manualBreakCount="2">
    <brk id="58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activeCellId="1" sqref="A1 C3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1:I30"/>
  <sheetViews>
    <sheetView zoomScalePageLayoutView="0" workbookViewId="0" topLeftCell="A1">
      <selection activeCell="C37" activeCellId="1" sqref="A1 C37"/>
    </sheetView>
  </sheetViews>
  <sheetFormatPr defaultColWidth="11.421875" defaultRowHeight="12.75"/>
  <sheetData>
    <row r="11" ht="12.75">
      <c r="F11" s="58">
        <v>4000</v>
      </c>
    </row>
    <row r="12" ht="12.75">
      <c r="F12" s="58">
        <v>6000</v>
      </c>
    </row>
    <row r="13" ht="12.75">
      <c r="F13" s="58">
        <v>2500</v>
      </c>
    </row>
    <row r="14" ht="12.75">
      <c r="F14" s="58">
        <v>800</v>
      </c>
    </row>
    <row r="15" ht="12.75">
      <c r="F15" s="58">
        <v>5000</v>
      </c>
    </row>
    <row r="16" spans="6:9" ht="12.75">
      <c r="F16" s="58">
        <v>1000</v>
      </c>
      <c r="I16" s="58"/>
    </row>
    <row r="17" ht="12.75">
      <c r="F17" s="58">
        <v>1900</v>
      </c>
    </row>
    <row r="18" ht="12.75">
      <c r="F18" s="58">
        <v>13000</v>
      </c>
    </row>
    <row r="19" spans="6:9" ht="12.75">
      <c r="F19" s="58">
        <v>500</v>
      </c>
      <c r="I19" s="58"/>
    </row>
    <row r="20" spans="6:9" ht="12.75">
      <c r="F20" s="58">
        <v>1000</v>
      </c>
      <c r="I20" s="58"/>
    </row>
    <row r="21" ht="12.75">
      <c r="F21" s="58">
        <f>SUM(F11:F20)</f>
        <v>35700</v>
      </c>
    </row>
    <row r="24" ht="12.75">
      <c r="F24" s="58">
        <f>+F21-37000</f>
        <v>-1300</v>
      </c>
    </row>
    <row r="26" ht="12.75">
      <c r="I26" s="59"/>
    </row>
    <row r="30" ht="12.75">
      <c r="H30">
        <f>15000/45.97</f>
        <v>326.2997607135088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2017-04-11T13:48:26Z</cp:lastPrinted>
  <dcterms:created xsi:type="dcterms:W3CDTF">1999-01-20T19:29:31Z</dcterms:created>
  <dcterms:modified xsi:type="dcterms:W3CDTF">2019-08-29T21:22:46Z</dcterms:modified>
  <cp:category/>
  <cp:version/>
  <cp:contentType/>
  <cp:contentStatus/>
</cp:coreProperties>
</file>